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898" documentId="8_{10AE5259-BB0F-4835-81F1-FB97735D6349}" xr6:coauthVersionLast="47" xr6:coauthVersionMax="47" xr10:uidLastSave="{FF1FF9CD-ADA4-40CE-802A-92336E6EA56D}"/>
  <workbookProtection workbookAlgorithmName="SHA-512" workbookHashValue="U80OZGFgsafhyc6FpXIQB3V+5a4gYzu/eZ4e5rNbdLmLmKyL5A4FC8nukHSeaci7fpn7IG84CMcT2kNGjXa9pA==" workbookSaltValue="9c8kivuZArRHZuVAFiK1cQ==" workbookSpinCount="100000" lockStructure="1"/>
  <bookViews>
    <workbookView xWindow="-15915" yWindow="-16320" windowWidth="29040" windowHeight="15720" xr2:uid="{00000000-000D-0000-FFFF-FFFF00000000}"/>
  </bookViews>
  <sheets>
    <sheet name="所要額調書①" sheetId="5" r:id="rId1"/>
    <sheet name="（記載例）所要額調書①" sheetId="22" r:id="rId2"/>
    <sheet name="所要額調書②" sheetId="17" r:id="rId3"/>
    <sheet name="（記載例）所要額調書②" sheetId="23" r:id="rId4"/>
    <sheet name="所要額調書③" sheetId="21" r:id="rId5"/>
    <sheet name="（記載例）所要額調書③" sheetId="24" r:id="rId6"/>
    <sheet name="所要額調書④" sheetId="20" r:id="rId7"/>
    <sheet name="（記載例）所要額調書④" sheetId="25" r:id="rId8"/>
    <sheet name="所要額調書⑤" sheetId="14" r:id="rId9"/>
    <sheet name="（記載例）所要額調書⑤" sheetId="26" r:id="rId10"/>
    <sheet name="所要額調書⑥" sheetId="13" r:id="rId11"/>
    <sheet name="（記載例）所要額調書⑥" sheetId="27" r:id="rId12"/>
    <sheet name="データリスト" sheetId="15" state="hidden" r:id="rId13"/>
  </sheets>
  <definedNames>
    <definedName name="_xlnm.Print_Area" localSheetId="1">'（記載例）所要額調書①'!$A$1:$U$25</definedName>
    <definedName name="_xlnm.Print_Area" localSheetId="3">'（記載例）所要額調書②'!$A$1:$U$25</definedName>
    <definedName name="_xlnm.Print_Area" localSheetId="5">'（記載例）所要額調書③'!$A$1:$T$25</definedName>
    <definedName name="_xlnm.Print_Area" localSheetId="7">'（記載例）所要額調書④'!$A$1:$R$15</definedName>
    <definedName name="_xlnm.Print_Area" localSheetId="9">'（記載例）所要額調書⑤'!$A$1:$S$25</definedName>
    <definedName name="_xlnm.Print_Area" localSheetId="0">所要額調書①!$A$1:$U$25</definedName>
    <definedName name="_xlnm.Print_Area" localSheetId="2">所要額調書②!$A$1:$U$25</definedName>
    <definedName name="_xlnm.Print_Area" localSheetId="4">所要額調書③!$A$1:$T$25</definedName>
    <definedName name="_xlnm.Print_Area" localSheetId="6">所要額調書④!$A$1:$R$15</definedName>
    <definedName name="_xlnm.Print_Area" localSheetId="8">所要額調書⑤!$A$1:$S$25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" i="20" l="1"/>
  <c r="R9" i="25"/>
  <c r="T9" i="21"/>
  <c r="T9" i="24"/>
  <c r="U9" i="17"/>
  <c r="U9" i="23"/>
  <c r="U9" i="5"/>
  <c r="T24" i="22"/>
  <c r="N14" i="27"/>
  <c r="M14" i="27"/>
  <c r="O9" i="27"/>
  <c r="O14" i="27" s="1"/>
  <c r="O9" i="13"/>
  <c r="N14" i="13"/>
  <c r="S9" i="14"/>
  <c r="Q14" i="25"/>
  <c r="P14" i="25"/>
  <c r="Q14" i="20"/>
  <c r="S24" i="24"/>
  <c r="S24" i="21"/>
  <c r="T24" i="23"/>
  <c r="T24" i="17"/>
  <c r="S24" i="22"/>
  <c r="T24" i="5"/>
  <c r="R24" i="24"/>
  <c r="R24" i="21"/>
  <c r="M14" i="13"/>
  <c r="P14" i="20"/>
  <c r="S24" i="23"/>
  <c r="S24" i="17"/>
  <c r="R14" i="25" l="1"/>
  <c r="I9" i="22" l="1"/>
  <c r="F24" i="14" l="1"/>
  <c r="F24" i="26" l="1"/>
  <c r="G21" i="26" l="1"/>
  <c r="F21" i="26"/>
  <c r="F14" i="20"/>
  <c r="E14" i="20"/>
  <c r="F14" i="25"/>
  <c r="E14" i="25"/>
  <c r="G14" i="27" l="1"/>
  <c r="E14" i="27"/>
  <c r="D14" i="27"/>
  <c r="I13" i="27"/>
  <c r="I12" i="27"/>
  <c r="I11" i="27"/>
  <c r="I10" i="27"/>
  <c r="I9" i="27"/>
  <c r="F9" i="27"/>
  <c r="K20" i="26"/>
  <c r="M20" i="26" s="1"/>
  <c r="K19" i="26"/>
  <c r="M19" i="26" s="1"/>
  <c r="K18" i="26"/>
  <c r="M18" i="26" s="1"/>
  <c r="K17" i="26"/>
  <c r="M17" i="26" s="1"/>
  <c r="U16" i="26"/>
  <c r="T16" i="26"/>
  <c r="K16" i="26"/>
  <c r="M16" i="26" s="1"/>
  <c r="U15" i="26"/>
  <c r="T15" i="26"/>
  <c r="K15" i="26"/>
  <c r="M15" i="26" s="1"/>
  <c r="T14" i="26"/>
  <c r="U14" i="26" s="1"/>
  <c r="U17" i="26" s="1"/>
  <c r="B22" i="26" s="1"/>
  <c r="K14" i="26"/>
  <c r="M14" i="26" s="1"/>
  <c r="K13" i="26"/>
  <c r="M13" i="26" s="1"/>
  <c r="K12" i="26"/>
  <c r="M12" i="26" s="1"/>
  <c r="K11" i="26"/>
  <c r="M11" i="26" s="1"/>
  <c r="K10" i="26"/>
  <c r="M10" i="26" s="1"/>
  <c r="K9" i="26"/>
  <c r="H9" i="26"/>
  <c r="H21" i="26" s="1"/>
  <c r="S13" i="25"/>
  <c r="T13" i="25" s="1"/>
  <c r="K13" i="25"/>
  <c r="M13" i="25" s="1"/>
  <c r="N13" i="25" s="1"/>
  <c r="O13" i="25" s="1"/>
  <c r="G13" i="25"/>
  <c r="S12" i="25"/>
  <c r="T12" i="25" s="1"/>
  <c r="K12" i="25"/>
  <c r="M12" i="25" s="1"/>
  <c r="N12" i="25" s="1"/>
  <c r="O12" i="25" s="1"/>
  <c r="G12" i="25"/>
  <c r="S11" i="25"/>
  <c r="T11" i="25" s="1"/>
  <c r="K11" i="25"/>
  <c r="M11" i="25" s="1"/>
  <c r="N11" i="25" s="1"/>
  <c r="O11" i="25" s="1"/>
  <c r="G11" i="25"/>
  <c r="S10" i="25"/>
  <c r="T10" i="25" s="1"/>
  <c r="G10" i="25"/>
  <c r="S9" i="25"/>
  <c r="T9" i="25" s="1"/>
  <c r="H9" i="25"/>
  <c r="K10" i="25" s="1"/>
  <c r="M10" i="25" s="1"/>
  <c r="N10" i="25" s="1"/>
  <c r="O10" i="25" s="1"/>
  <c r="G9" i="25"/>
  <c r="H24" i="24"/>
  <c r="G24" i="24"/>
  <c r="L23" i="24"/>
  <c r="N23" i="24" s="1"/>
  <c r="L22" i="24"/>
  <c r="N22" i="24" s="1"/>
  <c r="L21" i="24"/>
  <c r="N21" i="24" s="1"/>
  <c r="L20" i="24"/>
  <c r="N20" i="24" s="1"/>
  <c r="V19" i="24"/>
  <c r="U19" i="24"/>
  <c r="O19" i="24"/>
  <c r="P19" i="24" s="1"/>
  <c r="Q19" i="24" s="1"/>
  <c r="L19" i="24"/>
  <c r="N19" i="24" s="1"/>
  <c r="I19" i="24"/>
  <c r="L18" i="24"/>
  <c r="N18" i="24" s="1"/>
  <c r="L17" i="24"/>
  <c r="N17" i="24" s="1"/>
  <c r="L16" i="24"/>
  <c r="N16" i="24" s="1"/>
  <c r="L15" i="24"/>
  <c r="N15" i="24" s="1"/>
  <c r="V14" i="24"/>
  <c r="U14" i="24"/>
  <c r="O14" i="24"/>
  <c r="P14" i="24" s="1"/>
  <c r="Q14" i="24" s="1"/>
  <c r="L14" i="24"/>
  <c r="N14" i="24" s="1"/>
  <c r="I14" i="24"/>
  <c r="L13" i="24"/>
  <c r="N13" i="24" s="1"/>
  <c r="L12" i="24"/>
  <c r="N12" i="24" s="1"/>
  <c r="L11" i="24"/>
  <c r="N11" i="24" s="1"/>
  <c r="L10" i="24"/>
  <c r="N10" i="24" s="1"/>
  <c r="U9" i="24"/>
  <c r="V9" i="24" s="1"/>
  <c r="V24" i="24" s="1"/>
  <c r="A25" i="24" s="1"/>
  <c r="L9" i="24"/>
  <c r="N9" i="24" s="1"/>
  <c r="I9" i="24"/>
  <c r="I24" i="23"/>
  <c r="H24" i="23"/>
  <c r="M23" i="23"/>
  <c r="O23" i="23" s="1"/>
  <c r="M22" i="23"/>
  <c r="O22" i="23" s="1"/>
  <c r="M21" i="23"/>
  <c r="O21" i="23" s="1"/>
  <c r="M20" i="23"/>
  <c r="O20" i="23" s="1"/>
  <c r="W19" i="23"/>
  <c r="V19" i="23"/>
  <c r="P19" i="23"/>
  <c r="Q19" i="23" s="1"/>
  <c r="R19" i="23" s="1"/>
  <c r="M19" i="23"/>
  <c r="O19" i="23" s="1"/>
  <c r="J19" i="23"/>
  <c r="M18" i="23"/>
  <c r="O18" i="23" s="1"/>
  <c r="M17" i="23"/>
  <c r="O17" i="23" s="1"/>
  <c r="M16" i="23"/>
  <c r="O16" i="23" s="1"/>
  <c r="M15" i="23"/>
  <c r="O15" i="23" s="1"/>
  <c r="W14" i="23"/>
  <c r="V14" i="23"/>
  <c r="P14" i="23"/>
  <c r="Q14" i="23" s="1"/>
  <c r="R14" i="23" s="1"/>
  <c r="M14" i="23"/>
  <c r="O14" i="23" s="1"/>
  <c r="J14" i="23"/>
  <c r="M13" i="23"/>
  <c r="O13" i="23" s="1"/>
  <c r="M12" i="23"/>
  <c r="O12" i="23" s="1"/>
  <c r="M11" i="23"/>
  <c r="O11" i="23" s="1"/>
  <c r="M10" i="23"/>
  <c r="O10" i="23" s="1"/>
  <c r="V9" i="23"/>
  <c r="W9" i="23" s="1"/>
  <c r="W24" i="23" s="1"/>
  <c r="A25" i="23" s="1"/>
  <c r="M9" i="23"/>
  <c r="J9" i="23"/>
  <c r="H24" i="22"/>
  <c r="G24" i="22"/>
  <c r="M23" i="22"/>
  <c r="O23" i="22" s="1"/>
  <c r="M22" i="22"/>
  <c r="O22" i="22" s="1"/>
  <c r="M21" i="22"/>
  <c r="O21" i="22" s="1"/>
  <c r="M20" i="22"/>
  <c r="O20" i="22" s="1"/>
  <c r="V19" i="22"/>
  <c r="W19" i="22" s="1"/>
  <c r="I19" i="22"/>
  <c r="M18" i="22"/>
  <c r="M17" i="22"/>
  <c r="O17" i="22" s="1"/>
  <c r="M16" i="22"/>
  <c r="O16" i="22" s="1"/>
  <c r="M15" i="22"/>
  <c r="O15" i="22" s="1"/>
  <c r="V14" i="22"/>
  <c r="W14" i="22" s="1"/>
  <c r="I14" i="22"/>
  <c r="M13" i="22"/>
  <c r="M12" i="22"/>
  <c r="M11" i="22"/>
  <c r="M10" i="22"/>
  <c r="V9" i="22"/>
  <c r="W9" i="22" s="1"/>
  <c r="J9" i="22"/>
  <c r="M9" i="22" s="1"/>
  <c r="O9" i="22" s="1"/>
  <c r="J24" i="23" l="1"/>
  <c r="O11" i="22"/>
  <c r="I14" i="27"/>
  <c r="I24" i="24"/>
  <c r="F14" i="27"/>
  <c r="J9" i="27"/>
  <c r="J14" i="27" s="1"/>
  <c r="G14" i="25"/>
  <c r="K9" i="25"/>
  <c r="M9" i="25" s="1"/>
  <c r="N9" i="25" s="1"/>
  <c r="O9" i="25" s="1"/>
  <c r="O9" i="24"/>
  <c r="O24" i="24" s="1"/>
  <c r="M19" i="22"/>
  <c r="O19" i="22" s="1"/>
  <c r="P19" i="22" s="1"/>
  <c r="Q19" i="22" s="1"/>
  <c r="R19" i="22" s="1"/>
  <c r="O12" i="22"/>
  <c r="O10" i="22"/>
  <c r="O13" i="22"/>
  <c r="M14" i="22"/>
  <c r="O14" i="22" s="1"/>
  <c r="O18" i="22"/>
  <c r="K21" i="26"/>
  <c r="L24" i="24"/>
  <c r="M24" i="23"/>
  <c r="O9" i="23"/>
  <c r="P9" i="23" s="1"/>
  <c r="P24" i="23" s="1"/>
  <c r="I24" i="22"/>
  <c r="W24" i="22"/>
  <c r="B25" i="22" s="1"/>
  <c r="M9" i="26"/>
  <c r="N9" i="26" s="1"/>
  <c r="T14" i="25"/>
  <c r="B15" i="25" s="1"/>
  <c r="N24" i="24"/>
  <c r="M24" i="22"/>
  <c r="H9" i="20"/>
  <c r="J9" i="5"/>
  <c r="P19" i="5"/>
  <c r="Q19" i="5" s="1"/>
  <c r="R19" i="5" s="1"/>
  <c r="M14" i="25" l="1"/>
  <c r="K14" i="25"/>
  <c r="O24" i="22"/>
  <c r="P14" i="22"/>
  <c r="Q14" i="22" s="1"/>
  <c r="R14" i="22" s="1"/>
  <c r="P9" i="22"/>
  <c r="K9" i="27"/>
  <c r="L9" i="27" s="1"/>
  <c r="P9" i="24"/>
  <c r="Q9" i="24" s="1"/>
  <c r="M21" i="26"/>
  <c r="O9" i="26"/>
  <c r="P9" i="26" s="1"/>
  <c r="S9" i="26" s="1"/>
  <c r="O24" i="23"/>
  <c r="Q9" i="23"/>
  <c r="O14" i="25"/>
  <c r="N14" i="25"/>
  <c r="I9" i="5"/>
  <c r="I9" i="13"/>
  <c r="I13" i="13"/>
  <c r="I12" i="13"/>
  <c r="I11" i="13"/>
  <c r="I10" i="13"/>
  <c r="K9" i="14"/>
  <c r="M9" i="14" s="1"/>
  <c r="K10" i="14"/>
  <c r="M10" i="14" s="1"/>
  <c r="K11" i="14"/>
  <c r="M11" i="14" s="1"/>
  <c r="K12" i="14"/>
  <c r="M12" i="14" s="1"/>
  <c r="K13" i="14"/>
  <c r="M13" i="14" s="1"/>
  <c r="K20" i="14"/>
  <c r="M20" i="14" s="1"/>
  <c r="K18" i="14"/>
  <c r="M18" i="14" s="1"/>
  <c r="K19" i="14"/>
  <c r="M19" i="14" s="1"/>
  <c r="K17" i="14"/>
  <c r="M17" i="14" s="1"/>
  <c r="K15" i="14"/>
  <c r="M15" i="14" s="1"/>
  <c r="K16" i="14"/>
  <c r="M16" i="14" s="1"/>
  <c r="K14" i="14"/>
  <c r="M14" i="14" s="1"/>
  <c r="H9" i="14"/>
  <c r="K10" i="20"/>
  <c r="M10" i="20" s="1"/>
  <c r="N10" i="20" s="1"/>
  <c r="O10" i="20" s="1"/>
  <c r="K11" i="20"/>
  <c r="M11" i="20" s="1"/>
  <c r="N11" i="20" s="1"/>
  <c r="O11" i="20" s="1"/>
  <c r="K12" i="20"/>
  <c r="M12" i="20" s="1"/>
  <c r="N12" i="20" s="1"/>
  <c r="O12" i="20" s="1"/>
  <c r="K13" i="20"/>
  <c r="M13" i="20" s="1"/>
  <c r="N13" i="20" s="1"/>
  <c r="O13" i="20" s="1"/>
  <c r="G10" i="20"/>
  <c r="G11" i="20"/>
  <c r="G12" i="20"/>
  <c r="G13" i="20"/>
  <c r="G9" i="20"/>
  <c r="O14" i="21"/>
  <c r="P14" i="21" s="1"/>
  <c r="Q14" i="21" s="1"/>
  <c r="O19" i="21"/>
  <c r="P19" i="21" s="1"/>
  <c r="Q19" i="21" s="1"/>
  <c r="L14" i="21"/>
  <c r="N14" i="21" s="1"/>
  <c r="L15" i="21"/>
  <c r="N15" i="21" s="1"/>
  <c r="L16" i="21"/>
  <c r="N16" i="21" s="1"/>
  <c r="L17" i="21"/>
  <c r="N17" i="21" s="1"/>
  <c r="L18" i="21"/>
  <c r="N18" i="21" s="1"/>
  <c r="L19" i="21"/>
  <c r="N19" i="21" s="1"/>
  <c r="L20" i="21"/>
  <c r="N20" i="21" s="1"/>
  <c r="L21" i="21"/>
  <c r="N21" i="21" s="1"/>
  <c r="L22" i="21"/>
  <c r="N22" i="21" s="1"/>
  <c r="L23" i="21"/>
  <c r="N23" i="21" s="1"/>
  <c r="L11" i="21"/>
  <c r="N11" i="21" s="1"/>
  <c r="L12" i="21"/>
  <c r="N12" i="21" s="1"/>
  <c r="L10" i="21"/>
  <c r="N10" i="21" s="1"/>
  <c r="L13" i="21"/>
  <c r="N13" i="21" s="1"/>
  <c r="L9" i="21"/>
  <c r="N9" i="21" s="1"/>
  <c r="O9" i="21" s="1"/>
  <c r="P9" i="21" s="1"/>
  <c r="Q9" i="21" s="1"/>
  <c r="T24" i="21" s="1"/>
  <c r="I14" i="21"/>
  <c r="I19" i="21"/>
  <c r="I9" i="21"/>
  <c r="P14" i="17"/>
  <c r="Q14" i="17" s="1"/>
  <c r="R14" i="17" s="1"/>
  <c r="P19" i="17"/>
  <c r="Q19" i="17" s="1"/>
  <c r="R19" i="17" s="1"/>
  <c r="M14" i="17"/>
  <c r="O14" i="17" s="1"/>
  <c r="M15" i="17"/>
  <c r="O15" i="17" s="1"/>
  <c r="M16" i="17"/>
  <c r="O16" i="17" s="1"/>
  <c r="M17" i="17"/>
  <c r="O17" i="17" s="1"/>
  <c r="M18" i="17"/>
  <c r="O18" i="17" s="1"/>
  <c r="M19" i="17"/>
  <c r="O19" i="17" s="1"/>
  <c r="M20" i="17"/>
  <c r="O20" i="17" s="1"/>
  <c r="M21" i="17"/>
  <c r="O21" i="17" s="1"/>
  <c r="M22" i="17"/>
  <c r="O22" i="17" s="1"/>
  <c r="M23" i="17"/>
  <c r="O23" i="17" s="1"/>
  <c r="M13" i="17"/>
  <c r="O13" i="17" s="1"/>
  <c r="M11" i="17"/>
  <c r="O11" i="17" s="1"/>
  <c r="M12" i="17"/>
  <c r="O12" i="17" s="1"/>
  <c r="M10" i="17"/>
  <c r="O10" i="17" s="1"/>
  <c r="M9" i="17"/>
  <c r="O9" i="17" s="1"/>
  <c r="J14" i="17"/>
  <c r="J19" i="17"/>
  <c r="J9" i="17"/>
  <c r="M15" i="5"/>
  <c r="M16" i="5"/>
  <c r="O16" i="5" s="1"/>
  <c r="M17" i="5"/>
  <c r="O17" i="5" s="1"/>
  <c r="M18" i="5"/>
  <c r="O18" i="5" s="1"/>
  <c r="M19" i="5"/>
  <c r="O19" i="5" s="1"/>
  <c r="M20" i="5"/>
  <c r="O20" i="5" s="1"/>
  <c r="M21" i="5"/>
  <c r="O21" i="5" s="1"/>
  <c r="M22" i="5"/>
  <c r="O22" i="5" s="1"/>
  <c r="M23" i="5"/>
  <c r="O23" i="5" s="1"/>
  <c r="M13" i="5"/>
  <c r="O13" i="5" s="1"/>
  <c r="M11" i="5"/>
  <c r="O11" i="5" s="1"/>
  <c r="M12" i="5"/>
  <c r="O12" i="5" s="1"/>
  <c r="M10" i="5"/>
  <c r="O10" i="5" s="1"/>
  <c r="I14" i="5"/>
  <c r="I19" i="5"/>
  <c r="T16" i="14"/>
  <c r="T15" i="14"/>
  <c r="U15" i="14" s="1"/>
  <c r="T14" i="14"/>
  <c r="U14" i="14" s="1"/>
  <c r="U16" i="14"/>
  <c r="S11" i="20"/>
  <c r="H24" i="21"/>
  <c r="G24" i="21"/>
  <c r="V19" i="21"/>
  <c r="U19" i="21"/>
  <c r="U14" i="21"/>
  <c r="V14" i="21" s="1"/>
  <c r="U9" i="21"/>
  <c r="V9" i="21" s="1"/>
  <c r="I24" i="17"/>
  <c r="H24" i="17"/>
  <c r="H24" i="5"/>
  <c r="G24" i="5"/>
  <c r="L14" i="27" l="1"/>
  <c r="Q24" i="24"/>
  <c r="T24" i="24"/>
  <c r="P24" i="22"/>
  <c r="K14" i="27"/>
  <c r="V24" i="21"/>
  <c r="A25" i="21" s="1"/>
  <c r="Q9" i="22"/>
  <c r="R9" i="22" s="1"/>
  <c r="P24" i="24"/>
  <c r="Q24" i="23"/>
  <c r="R9" i="23"/>
  <c r="G14" i="20"/>
  <c r="N9" i="14"/>
  <c r="O9" i="14" s="1"/>
  <c r="P9" i="14" s="1"/>
  <c r="P9" i="17"/>
  <c r="Q9" i="17" s="1"/>
  <c r="R9" i="17" s="1"/>
  <c r="U24" i="17" s="1"/>
  <c r="J24" i="17"/>
  <c r="I24" i="21"/>
  <c r="K21" i="14"/>
  <c r="U17" i="14"/>
  <c r="B22" i="14" s="1"/>
  <c r="M21" i="14"/>
  <c r="P24" i="21"/>
  <c r="L24" i="21"/>
  <c r="N24" i="21"/>
  <c r="U24" i="22" l="1"/>
  <c r="R24" i="23"/>
  <c r="U24" i="23"/>
  <c r="R24" i="22"/>
  <c r="U9" i="22" s="1"/>
  <c r="Q24" i="22"/>
  <c r="O24" i="21"/>
  <c r="Q24" i="21" l="1"/>
  <c r="S10" i="20" l="1"/>
  <c r="T10" i="20" s="1"/>
  <c r="T11" i="20"/>
  <c r="S12" i="20"/>
  <c r="T12" i="20" s="1"/>
  <c r="S13" i="20"/>
  <c r="T13" i="20" s="1"/>
  <c r="S9" i="20"/>
  <c r="T9" i="20" s="1"/>
  <c r="T14" i="20" l="1"/>
  <c r="B15" i="20" s="1"/>
  <c r="K9" i="20" l="1"/>
  <c r="M9" i="20" s="1"/>
  <c r="N9" i="20" s="1"/>
  <c r="O9" i="20" s="1"/>
  <c r="R14" i="20" s="1"/>
  <c r="N14" i="20" l="1"/>
  <c r="K14" i="20"/>
  <c r="W19" i="17" l="1"/>
  <c r="V9" i="17"/>
  <c r="W9" i="17" s="1"/>
  <c r="W24" i="17" s="1"/>
  <c r="A25" i="17" s="1"/>
  <c r="V14" i="17"/>
  <c r="W14" i="17" s="1"/>
  <c r="V19" i="17"/>
  <c r="V14" i="5"/>
  <c r="V19" i="5"/>
  <c r="V9" i="5"/>
  <c r="W14" i="5" l="1"/>
  <c r="W19" i="5"/>
  <c r="W9" i="5"/>
  <c r="M9" i="5"/>
  <c r="O9" i="5" s="1"/>
  <c r="P9" i="5" s="1"/>
  <c r="Q9" i="5" l="1"/>
  <c r="R9" i="5" s="1"/>
  <c r="M14" i="5"/>
  <c r="O14" i="5" s="1"/>
  <c r="O15" i="5"/>
  <c r="W24" i="5"/>
  <c r="B25" i="5" s="1"/>
  <c r="P24" i="17"/>
  <c r="O24" i="17"/>
  <c r="O14" i="20"/>
  <c r="M14" i="20"/>
  <c r="Q24" i="17"/>
  <c r="M24" i="17"/>
  <c r="G14" i="13"/>
  <c r="E14" i="13"/>
  <c r="D14" i="13"/>
  <c r="F9" i="13"/>
  <c r="J9" i="13" s="1"/>
  <c r="G21" i="14"/>
  <c r="F21" i="14"/>
  <c r="J14" i="13" l="1"/>
  <c r="K9" i="13"/>
  <c r="L9" i="13" s="1"/>
  <c r="O14" i="13" s="1"/>
  <c r="P14" i="5"/>
  <c r="I24" i="5"/>
  <c r="M24" i="5"/>
  <c r="H21" i="14"/>
  <c r="I14" i="13"/>
  <c r="F14" i="13"/>
  <c r="Q14" i="5" l="1"/>
  <c r="R14" i="5" s="1"/>
  <c r="O24" i="5"/>
  <c r="L14" i="13"/>
  <c r="P24" i="5"/>
  <c r="U24" i="5" l="1"/>
  <c r="S24" i="5"/>
  <c r="Q24" i="5"/>
  <c r="K14" i="13"/>
  <c r="R24" i="17"/>
  <c r="R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7" authorId="0" shapeId="0" xr:uid="{E1A75AF7-70BF-491F-A7F9-767F7A56DDB5}">
      <text>
        <r>
          <rPr>
            <b/>
            <sz val="11"/>
            <color indexed="81"/>
            <rFont val="MS P ゴシック"/>
            <family val="3"/>
            <charset val="128"/>
          </rPr>
          <t>「種別」と「使用目的」が同じものはどちらかしか補助対象になりません（エラーが出ます）。</t>
        </r>
      </text>
    </comment>
    <comment ref="F7" authorId="0" shapeId="0" xr:uid="{A6C15E91-CF2F-4243-A33A-3BA7C8665687}">
      <text>
        <r>
          <rPr>
            <b/>
            <sz val="11"/>
            <color indexed="81"/>
            <rFont val="MS P ゴシック"/>
            <family val="3"/>
            <charset val="128"/>
          </rPr>
          <t>必須項目</t>
        </r>
      </text>
    </comment>
    <comment ref="G7" authorId="0" shapeId="0" xr:uid="{B34CECF7-49FD-4590-8514-C1FF2DD8A3D9}">
      <text>
        <r>
          <rPr>
            <b/>
            <sz val="11"/>
            <color indexed="81"/>
            <rFont val="MS P ゴシック"/>
            <family val="3"/>
            <charset val="128"/>
          </rPr>
          <t>導入にかかった経費の全額を記載してください</t>
        </r>
        <r>
          <rPr>
            <b/>
            <sz val="9"/>
            <color indexed="81"/>
            <rFont val="MS P ゴシック"/>
            <family val="3"/>
            <charset val="128"/>
          </rPr>
          <t>。</t>
        </r>
      </text>
    </comment>
    <comment ref="J7" authorId="0" shapeId="0" xr:uid="{6A3C647B-5745-4DDF-A99D-B440EE7ECADC}">
      <text>
        <r>
          <rPr>
            <b/>
            <sz val="11"/>
            <color indexed="81"/>
            <rFont val="MS P ゴシック"/>
            <family val="3"/>
            <charset val="128"/>
          </rPr>
          <t>付帯費用の機器を除く</t>
        </r>
      </text>
    </comment>
    <comment ref="S7" authorId="0" shapeId="0" xr:uid="{70EF1BB7-2AD3-485B-A224-1198BC6E3CC8}">
      <text>
        <r>
          <rPr>
            <b/>
            <sz val="9"/>
            <color indexed="81"/>
            <rFont val="MS P ゴシック"/>
            <family val="3"/>
            <charset val="128"/>
          </rPr>
          <t>交付決定指令書に記載された金額を記載してください。</t>
        </r>
      </text>
    </comment>
    <comment ref="T7" authorId="0" shapeId="0" xr:uid="{2FB97D56-364D-4D33-95E9-4D571DC89BB0}">
      <text>
        <r>
          <rPr>
            <b/>
            <sz val="9"/>
            <color indexed="81"/>
            <rFont val="MS P ゴシック"/>
            <family val="3"/>
            <charset val="128"/>
          </rPr>
          <t>概算払請求により既に補助金の交付を受けている場合、その金額を記載</t>
        </r>
      </text>
    </comment>
    <comment ref="K9" authorId="0" shapeId="0" xr:uid="{DD38B4AE-6168-4D52-BF2B-7B021FBBCB91}">
      <text>
        <r>
          <rPr>
            <b/>
            <sz val="11"/>
            <color indexed="81"/>
            <rFont val="MS P ゴシック"/>
            <family val="3"/>
            <charset val="128"/>
          </rPr>
          <t>導入台数上限を超える台数を入力するとエラーが出ます。</t>
        </r>
      </text>
    </comment>
    <comment ref="K14" authorId="0" shapeId="0" xr:uid="{64609EF4-DB74-4428-98C4-69F001CEDD1C}">
      <text>
        <r>
          <rPr>
            <b/>
            <sz val="11"/>
            <color indexed="81"/>
            <rFont val="MS P ゴシック"/>
            <family val="3"/>
            <charset val="128"/>
          </rPr>
          <t>導入台数上限を超える台数を入力するとエラーが出ます。</t>
        </r>
      </text>
    </comment>
    <comment ref="K19" authorId="0" shapeId="0" xr:uid="{01BBCB6A-8113-41DB-96C8-22AF72841FE9}">
      <text>
        <r>
          <rPr>
            <b/>
            <sz val="11"/>
            <color indexed="81"/>
            <rFont val="MS P ゴシック"/>
            <family val="3"/>
            <charset val="128"/>
          </rPr>
          <t>導入台数上限を超える台数を入力するとエラーが出ます。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7" authorId="0" shapeId="0" xr:uid="{ECCBD93E-0D6C-4EDD-9862-E65A4BC54575}">
      <text>
        <r>
          <rPr>
            <b/>
            <sz val="11"/>
            <color indexed="81"/>
            <rFont val="MS P ゴシック"/>
            <family val="3"/>
            <charset val="128"/>
          </rPr>
          <t>「使用目的」が同じものはどちらかしか補助対象になりません（エラーが出ます）。</t>
        </r>
      </text>
    </comment>
    <comment ref="E7" authorId="0" shapeId="0" xr:uid="{F59672E0-BF6F-43E5-A9EF-CF28C86A732F}">
      <text>
        <r>
          <rPr>
            <b/>
            <sz val="11"/>
            <color indexed="81"/>
            <rFont val="MS P ゴシック"/>
            <family val="3"/>
            <charset val="128"/>
          </rPr>
          <t>必須入力</t>
        </r>
      </text>
    </comment>
    <comment ref="G7" authorId="0" shapeId="0" xr:uid="{82F72EBD-B680-480E-9CA6-00127808596F}">
      <text>
        <r>
          <rPr>
            <b/>
            <sz val="11"/>
            <color indexed="81"/>
            <rFont val="MS P ゴシック"/>
            <family val="3"/>
            <charset val="128"/>
          </rPr>
          <t>必須項目</t>
        </r>
      </text>
    </comment>
    <comment ref="H7" authorId="0" shapeId="0" xr:uid="{A919F75B-858A-4D8A-888F-64E793C0CA15}">
      <text>
        <r>
          <rPr>
            <b/>
            <sz val="11"/>
            <color indexed="81"/>
            <rFont val="MS P ゴシック"/>
            <family val="3"/>
            <charset val="128"/>
          </rPr>
          <t>導入にかかった経費の全額を記載してください。</t>
        </r>
      </text>
    </comment>
    <comment ref="S7" authorId="0" shapeId="0" xr:uid="{E0E99A1F-7794-4FBD-B310-E8ADED66FE78}">
      <text>
        <r>
          <rPr>
            <b/>
            <sz val="9"/>
            <color indexed="81"/>
            <rFont val="MS P ゴシック"/>
            <family val="3"/>
            <charset val="128"/>
          </rPr>
          <t>交付決定指令書に記載された金額を記載してください。</t>
        </r>
      </text>
    </comment>
    <comment ref="T7" authorId="0" shapeId="0" xr:uid="{2B2095DB-99BD-478A-8F62-3E0051A2C76C}">
      <text>
        <r>
          <rPr>
            <b/>
            <sz val="9"/>
            <color indexed="81"/>
            <rFont val="MS P ゴシック"/>
            <family val="3"/>
            <charset val="128"/>
          </rPr>
          <t>概算払請求により既に補助金の交付を受けている場合、その金額を記載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7" authorId="0" shapeId="0" xr:uid="{14E27ED0-6C9B-4774-99A7-0EEC403D4245}">
      <text>
        <r>
          <rPr>
            <b/>
            <sz val="11"/>
            <color indexed="81"/>
            <rFont val="MS P ゴシック"/>
            <family val="3"/>
            <charset val="128"/>
          </rPr>
          <t>「使用目的」が同じものはどちらかしか補助対象になりません（エラーが出ます）。</t>
        </r>
      </text>
    </comment>
    <comment ref="E7" authorId="0" shapeId="0" xr:uid="{056170FA-E5AA-43D3-B0D0-48A14A6BE82D}">
      <text>
        <r>
          <rPr>
            <b/>
            <sz val="11"/>
            <color indexed="81"/>
            <rFont val="MS P ゴシック"/>
            <family val="3"/>
            <charset val="128"/>
          </rPr>
          <t>必須入力</t>
        </r>
      </text>
    </comment>
    <comment ref="F7" authorId="0" shapeId="0" xr:uid="{CDD9A441-F4F2-4E19-B8CB-40381738D2ED}">
      <text>
        <r>
          <rPr>
            <b/>
            <sz val="11"/>
            <color indexed="81"/>
            <rFont val="MS P ゴシック"/>
            <family val="3"/>
            <charset val="128"/>
          </rPr>
          <t>必須項目</t>
        </r>
      </text>
    </comment>
    <comment ref="G7" authorId="0" shapeId="0" xr:uid="{B6E8CA47-95D4-4507-8CE2-AEC21450AED0}">
      <text>
        <r>
          <rPr>
            <b/>
            <sz val="11"/>
            <color indexed="81"/>
            <rFont val="MS P ゴシック"/>
            <family val="3"/>
            <charset val="128"/>
          </rPr>
          <t>導入にかかった経費の全額を記載してください。</t>
        </r>
      </text>
    </comment>
    <comment ref="R7" authorId="0" shapeId="0" xr:uid="{06F4919F-6175-4B7F-822C-72A3F008ACEB}">
      <text>
        <r>
          <rPr>
            <b/>
            <sz val="9"/>
            <color indexed="81"/>
            <rFont val="MS P ゴシック"/>
            <family val="3"/>
            <charset val="128"/>
          </rPr>
          <t>交付決定指令書に記載された金額を記載してください。</t>
        </r>
      </text>
    </comment>
    <comment ref="S7" authorId="0" shapeId="0" xr:uid="{B6861B1B-12AD-4748-9F51-97CABD09F049}">
      <text>
        <r>
          <rPr>
            <b/>
            <sz val="9"/>
            <color indexed="81"/>
            <rFont val="MS P ゴシック"/>
            <family val="3"/>
            <charset val="128"/>
          </rPr>
          <t>概算払請求により既に補助金の交付を受けている場合、その金額を記載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7" authorId="0" shapeId="0" xr:uid="{F163C60C-3F2C-4225-955F-CF11F3616F24}">
      <text>
        <r>
          <rPr>
            <b/>
            <sz val="9"/>
            <color indexed="81"/>
            <rFont val="MS P ゴシック"/>
            <family val="3"/>
            <charset val="128"/>
          </rPr>
          <t>「使用目的」が同じものはどちらかしか補助対象になりません（エラーが出ます）。</t>
        </r>
      </text>
    </comment>
    <comment ref="D7" authorId="0" shapeId="0" xr:uid="{00EFA15E-14B0-4577-AE1C-B4C53F642E50}">
      <text>
        <r>
          <rPr>
            <b/>
            <sz val="9"/>
            <color indexed="81"/>
            <rFont val="MS P ゴシック"/>
            <family val="3"/>
            <charset val="128"/>
          </rPr>
          <t>必須項目</t>
        </r>
      </text>
    </comment>
    <comment ref="E7" authorId="0" shapeId="0" xr:uid="{14ACBAE3-860E-403E-83FA-9CCC4F9A1062}">
      <text>
        <r>
          <rPr>
            <b/>
            <sz val="9"/>
            <color indexed="81"/>
            <rFont val="MS P ゴシック"/>
            <family val="3"/>
            <charset val="128"/>
          </rPr>
          <t>導入にかかった経費の全額を記載してください。</t>
        </r>
      </text>
    </comment>
    <comment ref="H7" authorId="0" shapeId="0" xr:uid="{9E8B487F-5A4A-4FD7-A31A-67F5BE375DD0}">
      <text>
        <r>
          <rPr>
            <b/>
            <sz val="11"/>
            <color indexed="81"/>
            <rFont val="MS P ゴシック"/>
            <family val="3"/>
            <charset val="128"/>
          </rPr>
          <t>付帯費用の機器を除く</t>
        </r>
      </text>
    </comment>
    <comment ref="I7" authorId="0" shapeId="0" xr:uid="{B4D3478F-91EE-4901-8FDE-82A01D7316F8}">
      <text>
        <r>
          <rPr>
            <b/>
            <sz val="9"/>
            <color indexed="81"/>
            <rFont val="MS P ゴシック"/>
            <family val="3"/>
            <charset val="128"/>
          </rPr>
          <t>導入台数上限を超える台数を入力するとエラーが出ます。</t>
        </r>
      </text>
    </comment>
    <comment ref="P7" authorId="0" shapeId="0" xr:uid="{58019CC4-8454-4E3D-AD7F-0AE15B91708A}">
      <text>
        <r>
          <rPr>
            <b/>
            <sz val="9"/>
            <color indexed="81"/>
            <rFont val="MS P ゴシック"/>
            <family val="3"/>
            <charset val="128"/>
          </rPr>
          <t>交付決定指令書に記載された金額を記載してください。</t>
        </r>
      </text>
    </comment>
    <comment ref="Q7" authorId="0" shapeId="0" xr:uid="{CE373B4A-74B6-48D2-9620-32B708959322}">
      <text>
        <r>
          <rPr>
            <b/>
            <sz val="9"/>
            <color indexed="81"/>
            <rFont val="MS P ゴシック"/>
            <family val="3"/>
            <charset val="128"/>
          </rPr>
          <t>概算払請求により既に補助金の交付を受けている場合、その金額を記載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7" authorId="0" shapeId="0" xr:uid="{EB0FF803-70FC-4648-BD19-AEC3ABAF9D11}">
      <text>
        <r>
          <rPr>
            <b/>
            <sz val="9"/>
            <color indexed="81"/>
            <rFont val="MS P ゴシック"/>
            <family val="3"/>
            <charset val="128"/>
          </rPr>
          <t>「種別」と「連携目的」が同じものはどちらかしか補助対象になりません（エラーが出ます）。</t>
        </r>
      </text>
    </comment>
    <comment ref="F7" authorId="0" shapeId="0" xr:uid="{018DA99E-665B-4E11-BA11-56DDC7253A72}">
      <text>
        <r>
          <rPr>
            <b/>
            <sz val="9"/>
            <color indexed="81"/>
            <rFont val="MS P ゴシック"/>
            <family val="3"/>
            <charset val="128"/>
          </rPr>
          <t>導入にかかった経費の全額を記載してください。</t>
        </r>
      </text>
    </comment>
    <comment ref="Q7" authorId="0" shapeId="0" xr:uid="{E59BD665-A64B-4A74-B12A-6CBFF92A44C3}">
      <text>
        <r>
          <rPr>
            <b/>
            <sz val="9"/>
            <color indexed="81"/>
            <rFont val="MS P ゴシック"/>
            <family val="3"/>
            <charset val="128"/>
          </rPr>
          <t>交付決定指令書に記載された金額を記載してください。</t>
        </r>
      </text>
    </comment>
    <comment ref="R7" authorId="0" shapeId="0" xr:uid="{9000C386-9FCE-4222-A809-B6A125767AAF}">
      <text>
        <r>
          <rPr>
            <b/>
            <sz val="9"/>
            <color indexed="81"/>
            <rFont val="MS P ゴシック"/>
            <family val="3"/>
            <charset val="128"/>
          </rPr>
          <t>概算払請求により既に補助金の交付を受けている場合、その金額を記載</t>
        </r>
      </text>
    </comment>
    <comment ref="A24" authorId="0" shapeId="0" xr:uid="{18B64884-AA67-4AD2-A334-1576177D2627}">
      <text>
        <r>
          <rPr>
            <b/>
            <sz val="9"/>
            <color indexed="81"/>
            <rFont val="MS P ゴシック"/>
            <family val="3"/>
            <charset val="128"/>
          </rPr>
          <t>必須項目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7" authorId="0" shapeId="0" xr:uid="{1F06BBEA-1019-42E1-9933-268459D189CC}">
      <text>
        <r>
          <rPr>
            <b/>
            <sz val="9"/>
            <color indexed="81"/>
            <rFont val="MS P ゴシック"/>
            <family val="3"/>
            <charset val="128"/>
          </rPr>
          <t>導入にかかった経費の全額を記載してください。</t>
        </r>
      </text>
    </comment>
    <comment ref="M7" authorId="0" shapeId="0" xr:uid="{07CC7397-546F-4893-BC21-E0167E38F17A}">
      <text>
        <r>
          <rPr>
            <b/>
            <sz val="9"/>
            <color indexed="81"/>
            <rFont val="MS P ゴシック"/>
            <family val="3"/>
            <charset val="128"/>
          </rPr>
          <t>交付決定指令書に記載された金額を記載してください。</t>
        </r>
      </text>
    </comment>
    <comment ref="N7" authorId="0" shapeId="0" xr:uid="{EB463361-683D-42D7-ABA3-9787F675794C}">
      <text>
        <r>
          <rPr>
            <b/>
            <sz val="9"/>
            <color indexed="81"/>
            <rFont val="MS P ゴシック"/>
            <family val="3"/>
            <charset val="128"/>
          </rPr>
          <t>概算払請求により既に補助金の交付を受けている場合、その金額を記載</t>
        </r>
      </text>
    </comment>
  </commentList>
</comments>
</file>

<file path=xl/sharedStrings.xml><?xml version="1.0" encoding="utf-8"?>
<sst xmlns="http://schemas.openxmlformats.org/spreadsheetml/2006/main" count="1179" uniqueCount="210">
  <si>
    <t>機器名</t>
    <rPh sb="0" eb="3">
      <t>キキメイ</t>
    </rPh>
    <phoneticPr fontId="1"/>
  </si>
  <si>
    <t>別紙１－２－①介護テクノロジー用</t>
    <rPh sb="0" eb="2">
      <t>ベッシ</t>
    </rPh>
    <rPh sb="7" eb="9">
      <t>カイゴ</t>
    </rPh>
    <rPh sb="15" eb="16">
      <t>ヨウ</t>
    </rPh>
    <phoneticPr fontId="1"/>
  </si>
  <si>
    <t>種別</t>
    <rPh sb="0" eb="2">
      <t>シュベツ</t>
    </rPh>
    <phoneticPr fontId="1"/>
  </si>
  <si>
    <t>区分：</t>
    <rPh sb="0" eb="2">
      <t>クブン</t>
    </rPh>
    <phoneticPr fontId="1"/>
  </si>
  <si>
    <t>重点分野に該当する介護テクノロジーの導入支援</t>
    <rPh sb="0" eb="4">
      <t>ジュウテンブンヤ</t>
    </rPh>
    <rPh sb="5" eb="7">
      <t>ガイトウ</t>
    </rPh>
    <rPh sb="9" eb="11">
      <t>カイゴ</t>
    </rPh>
    <rPh sb="18" eb="20">
      <t>ドウニュウ</t>
    </rPh>
    <rPh sb="20" eb="22">
      <t>シエン</t>
    </rPh>
    <phoneticPr fontId="1"/>
  </si>
  <si>
    <t>総事業費</t>
    <rPh sb="0" eb="4">
      <t>ソウジギョウヒ</t>
    </rPh>
    <phoneticPr fontId="1"/>
  </si>
  <si>
    <t>寄付金その他の収入</t>
    <rPh sb="0" eb="3">
      <t>キフキン</t>
    </rPh>
    <rPh sb="5" eb="6">
      <t>タ</t>
    </rPh>
    <rPh sb="7" eb="9">
      <t>シュウニュウ</t>
    </rPh>
    <phoneticPr fontId="1"/>
  </si>
  <si>
    <t>差引額</t>
    <rPh sb="0" eb="2">
      <t>サシヒキ</t>
    </rPh>
    <rPh sb="2" eb="3">
      <t>ガク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</si>
  <si>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</si>
  <si>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導入台数</t>
    <rPh sb="0" eb="2">
      <t>ドウニュウ</t>
    </rPh>
    <rPh sb="2" eb="4">
      <t>ダイスウ</t>
    </rPh>
    <phoneticPr fontId="1"/>
  </si>
  <si>
    <t>補助率</t>
    <rPh sb="0" eb="3">
      <t>ホジョリツ</t>
    </rPh>
    <phoneticPr fontId="1"/>
  </si>
  <si>
    <t>導入台数
上限</t>
    <rPh sb="0" eb="2">
      <t>ドウニュウ</t>
    </rPh>
    <rPh sb="2" eb="4">
      <t>ダイスウ</t>
    </rPh>
    <rPh sb="5" eb="7">
      <t>ジョウゲン</t>
    </rPh>
    <phoneticPr fontId="1"/>
  </si>
  <si>
    <t>介護テクノロジー</t>
    <rPh sb="0" eb="2">
      <t>カイゴ</t>
    </rPh>
    <phoneticPr fontId="1"/>
  </si>
  <si>
    <t>事業所
定員数</t>
    <rPh sb="0" eb="3">
      <t>ジギョウショ</t>
    </rPh>
    <rPh sb="4" eb="7">
      <t>テイインスウ</t>
    </rPh>
    <phoneticPr fontId="1"/>
  </si>
  <si>
    <t>合計</t>
    <rPh sb="0" eb="2">
      <t>ゴウケイ</t>
    </rPh>
    <phoneticPr fontId="1"/>
  </si>
  <si>
    <t>その他</t>
    <rPh sb="2" eb="3">
      <t>タ</t>
    </rPh>
    <phoneticPr fontId="1"/>
  </si>
  <si>
    <t>別紙１－２－④その他用</t>
    <rPh sb="0" eb="2">
      <t>ベッシ</t>
    </rPh>
    <rPh sb="9" eb="10">
      <t>タ</t>
    </rPh>
    <rPh sb="10" eb="11">
      <t>ヨウ</t>
    </rPh>
    <phoneticPr fontId="1"/>
  </si>
  <si>
    <t>介護ソフト</t>
    <rPh sb="0" eb="2">
      <t>カイゴ</t>
    </rPh>
    <phoneticPr fontId="1"/>
  </si>
  <si>
    <t>職員数</t>
    <rPh sb="0" eb="3">
      <t>ショクインスウ</t>
    </rPh>
    <phoneticPr fontId="1"/>
  </si>
  <si>
    <t>業務改善支援</t>
    <rPh sb="0" eb="2">
      <t>ギョウム</t>
    </rPh>
    <rPh sb="2" eb="4">
      <t>カイゼン</t>
    </rPh>
    <rPh sb="4" eb="6">
      <t>シエン</t>
    </rPh>
    <phoneticPr fontId="1"/>
  </si>
  <si>
    <t>支援内容</t>
    <rPh sb="0" eb="2">
      <t>シエン</t>
    </rPh>
    <rPh sb="2" eb="4">
      <t>ナイヨウ</t>
    </rPh>
    <phoneticPr fontId="1"/>
  </si>
  <si>
    <t>介護テクノロジーのパッケージ型導入支援</t>
    <rPh sb="0" eb="2">
      <t>カイゴ</t>
    </rPh>
    <rPh sb="14" eb="15">
      <t>ガタ</t>
    </rPh>
    <rPh sb="15" eb="17">
      <t>ドウニュウ</t>
    </rPh>
    <rPh sb="17" eb="19">
      <t>シエン</t>
    </rPh>
    <phoneticPr fontId="1"/>
  </si>
  <si>
    <t>介護業務支援</t>
    <rPh sb="0" eb="2">
      <t>カイゴ</t>
    </rPh>
    <rPh sb="2" eb="4">
      <t>ギョウム</t>
    </rPh>
    <rPh sb="4" eb="6">
      <t>シエン</t>
    </rPh>
    <phoneticPr fontId="1"/>
  </si>
  <si>
    <t>連携させる機器等</t>
    <rPh sb="0" eb="2">
      <t>レンケイ</t>
    </rPh>
    <rPh sb="5" eb="7">
      <t>キキ</t>
    </rPh>
    <rPh sb="7" eb="8">
      <t>トウ</t>
    </rPh>
    <phoneticPr fontId="1"/>
  </si>
  <si>
    <t>別紙１－２－⑤パッケージ</t>
    <rPh sb="0" eb="2">
      <t>ベッシ</t>
    </rPh>
    <phoneticPr fontId="1"/>
  </si>
  <si>
    <t>別紙１－２－②介護ソフト用（在宅系サービス）</t>
    <rPh sb="0" eb="2">
      <t>ベッシ</t>
    </rPh>
    <rPh sb="7" eb="9">
      <t>カイゴ</t>
    </rPh>
    <rPh sb="12" eb="13">
      <t>ヨウ</t>
    </rPh>
    <rPh sb="14" eb="16">
      <t>ザイタク</t>
    </rPh>
    <rPh sb="16" eb="17">
      <t>ケイ</t>
    </rPh>
    <phoneticPr fontId="1"/>
  </si>
  <si>
    <t>使用目的</t>
    <rPh sb="0" eb="2">
      <t>シヨウ</t>
    </rPh>
    <rPh sb="2" eb="4">
      <t>モクテキ</t>
    </rPh>
    <phoneticPr fontId="1"/>
  </si>
  <si>
    <t>機器等の名称</t>
    <rPh sb="0" eb="2">
      <t>キキ</t>
    </rPh>
    <rPh sb="2" eb="3">
      <t>トウ</t>
    </rPh>
    <rPh sb="4" eb="6">
      <t>メイショウ</t>
    </rPh>
    <phoneticPr fontId="1"/>
  </si>
  <si>
    <t>法人名：</t>
    <rPh sb="0" eb="2">
      <t>ホウジン</t>
    </rPh>
    <rPh sb="2" eb="3">
      <t>メイ</t>
    </rPh>
    <phoneticPr fontId="1"/>
  </si>
  <si>
    <t>代表者職・氏名：</t>
    <rPh sb="0" eb="3">
      <t>ダイヒョウシャ</t>
    </rPh>
    <rPh sb="3" eb="4">
      <t>ショク</t>
    </rPh>
    <rPh sb="5" eb="7">
      <t>シメイ</t>
    </rPh>
    <phoneticPr fontId="1"/>
  </si>
  <si>
    <t>事業所名：</t>
    <rPh sb="0" eb="3">
      <t>ジギョウショ</t>
    </rPh>
    <rPh sb="3" eb="4">
      <t>メイ</t>
    </rPh>
    <phoneticPr fontId="1"/>
  </si>
  <si>
    <t>サービス種別：</t>
    <rPh sb="4" eb="6">
      <t>シュベツ</t>
    </rPh>
    <phoneticPr fontId="1"/>
  </si>
  <si>
    <t>事業所番号：</t>
    <rPh sb="0" eb="3">
      <t>ジギョウショ</t>
    </rPh>
    <rPh sb="3" eb="5">
      <t>バンゴウ</t>
    </rPh>
    <phoneticPr fontId="1"/>
  </si>
  <si>
    <t>連携目的</t>
    <rPh sb="0" eb="2">
      <t>レンケイ</t>
    </rPh>
    <rPh sb="2" eb="4">
      <t>モクテキ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</si>
  <si>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</si>
  <si>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</si>
  <si>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</si>
  <si>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</si>
  <si>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</si>
  <si>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"/>
  </si>
  <si>
    <t>サービス種別一覧</t>
    <rPh sb="4" eb="6">
      <t>シュベツ</t>
    </rPh>
    <rPh sb="6" eb="8">
      <t>イチラン</t>
    </rPh>
    <phoneticPr fontId="1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</si>
  <si>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1"/>
  </si>
  <si>
    <t>地域密着型介護老人福祉施設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1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</si>
  <si>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</si>
  <si>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</si>
  <si>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</si>
  <si>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1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</si>
  <si>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1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</si>
  <si>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1"/>
  </si>
  <si>
    <t>介護予防小規模多機能型居宅介護</t>
    <rPh sb="0" eb="2">
      <t>カイゴ</t>
    </rPh>
    <rPh sb="2" eb="4">
      <t>ヨボウ</t>
    </rPh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1"/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</si>
  <si>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"/>
  </si>
  <si>
    <t>訪問介護</t>
    <rPh sb="0" eb="2">
      <t>ホウモン</t>
    </rPh>
    <rPh sb="2" eb="4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</si>
  <si>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</si>
  <si>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訪問看護</t>
    <rPh sb="0" eb="2">
      <t>ホウモン</t>
    </rPh>
    <rPh sb="2" eb="4">
      <t>カンゴ</t>
    </rPh>
    <phoneticPr fontId="1"/>
  </si>
  <si>
    <t>訪問リハビリテーション</t>
    <rPh sb="0" eb="2">
      <t>ホウモン</t>
    </rPh>
    <phoneticPr fontId="1"/>
  </si>
  <si>
    <t>通所介護</t>
    <rPh sb="0" eb="2">
      <t>ツウショ</t>
    </rPh>
    <rPh sb="2" eb="4">
      <t>カイゴ</t>
    </rPh>
    <phoneticPr fontId="1"/>
  </si>
  <si>
    <t>通所リハビリテーション</t>
    <rPh sb="0" eb="2">
      <t>ツウショ</t>
    </rPh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</si>
  <si>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</si>
  <si>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</si>
  <si>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</si>
  <si>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1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</si>
  <si>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</si>
  <si>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</si>
  <si>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特定施設入居者生活介護（短期利用）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4">
      <t>タンキ</t>
    </rPh>
    <rPh sb="14" eb="16">
      <t>リヨウ</t>
    </rPh>
    <phoneticPr fontId="1"/>
  </si>
  <si>
    <t>地域密着型特定施設入居者生活介護（短期利用）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rPh sb="17" eb="19">
      <t>タンキ</t>
    </rPh>
    <rPh sb="19" eb="21">
      <t>リヨウ</t>
    </rPh>
    <phoneticPr fontId="1"/>
  </si>
  <si>
    <t>認知症対応型共同生活介護（短期利用）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13" eb="15">
      <t>タンキ</t>
    </rPh>
    <rPh sb="15" eb="17">
      <t>リヨウ</t>
    </rPh>
    <phoneticPr fontId="1"/>
  </si>
  <si>
    <t>居宅介護支援</t>
    <rPh sb="0" eb="2">
      <t>キョタク</t>
    </rPh>
    <rPh sb="2" eb="4">
      <t>カイゴ</t>
    </rPh>
    <rPh sb="4" eb="6">
      <t>シエン</t>
    </rPh>
    <phoneticPr fontId="1"/>
  </si>
  <si>
    <t>介護ロボットの種別と使用目的一覧</t>
    <rPh sb="0" eb="2">
      <t>カイゴ</t>
    </rPh>
    <rPh sb="7" eb="9">
      <t>シュベツ</t>
    </rPh>
    <rPh sb="10" eb="12">
      <t>シヨウ</t>
    </rPh>
    <rPh sb="12" eb="14">
      <t>モクテキ</t>
    </rPh>
    <rPh sb="14" eb="16">
      <t>イチラン</t>
    </rPh>
    <phoneticPr fontId="1"/>
  </si>
  <si>
    <t>種別</t>
    <rPh sb="0" eb="2">
      <t>シュベツ</t>
    </rPh>
    <phoneticPr fontId="1"/>
  </si>
  <si>
    <t>使用目的</t>
    <rPh sb="0" eb="2">
      <t>シヨウ</t>
    </rPh>
    <rPh sb="2" eb="4">
      <t>モクテキ</t>
    </rPh>
    <phoneticPr fontId="1"/>
  </si>
  <si>
    <t>移乗支援（装着）</t>
    <rPh sb="0" eb="2">
      <t>イジョウ</t>
    </rPh>
    <rPh sb="2" eb="4">
      <t>シエン</t>
    </rPh>
    <rPh sb="5" eb="7">
      <t>ソウチャク</t>
    </rPh>
    <phoneticPr fontId="1"/>
  </si>
  <si>
    <t>移乗支援（非装着）</t>
    <rPh sb="0" eb="2">
      <t>イジョウ</t>
    </rPh>
    <rPh sb="2" eb="4">
      <t>シエン</t>
    </rPh>
    <rPh sb="5" eb="6">
      <t>ヒ</t>
    </rPh>
    <rPh sb="6" eb="8">
      <t>ソウチャク</t>
    </rPh>
    <phoneticPr fontId="1"/>
  </si>
  <si>
    <t>移動支援（屋外）</t>
    <rPh sb="0" eb="2">
      <t>イドウ</t>
    </rPh>
    <rPh sb="2" eb="4">
      <t>シエン</t>
    </rPh>
    <rPh sb="5" eb="7">
      <t>オクガイ</t>
    </rPh>
    <phoneticPr fontId="1"/>
  </si>
  <si>
    <t>移動支援（屋内）</t>
    <rPh sb="0" eb="2">
      <t>イドウ</t>
    </rPh>
    <rPh sb="2" eb="4">
      <t>シエン</t>
    </rPh>
    <rPh sb="5" eb="7">
      <t>オクナイ</t>
    </rPh>
    <phoneticPr fontId="1"/>
  </si>
  <si>
    <t>移動支援（装着）</t>
    <rPh sb="0" eb="2">
      <t>イドウ</t>
    </rPh>
    <rPh sb="2" eb="4">
      <t>シエン</t>
    </rPh>
    <rPh sb="5" eb="7">
      <t>ソウチャク</t>
    </rPh>
    <phoneticPr fontId="1"/>
  </si>
  <si>
    <t>排泄支援（排泄予測・検知）</t>
    <rPh sb="0" eb="2">
      <t>ハイセツ</t>
    </rPh>
    <rPh sb="2" eb="4">
      <t>シエン</t>
    </rPh>
    <rPh sb="5" eb="7">
      <t>ハイセツ</t>
    </rPh>
    <rPh sb="7" eb="9">
      <t>ヨソク</t>
    </rPh>
    <rPh sb="10" eb="12">
      <t>ケンチ</t>
    </rPh>
    <phoneticPr fontId="1"/>
  </si>
  <si>
    <t>排泄支援（排泄物処理）</t>
    <rPh sb="0" eb="2">
      <t>ハイセツ</t>
    </rPh>
    <rPh sb="2" eb="4">
      <t>シエン</t>
    </rPh>
    <rPh sb="5" eb="8">
      <t>ハイセツブツ</t>
    </rPh>
    <rPh sb="8" eb="10">
      <t>ショリ</t>
    </rPh>
    <phoneticPr fontId="1"/>
  </si>
  <si>
    <t>排泄支援（動作支援）</t>
    <rPh sb="0" eb="2">
      <t>ハイセツ</t>
    </rPh>
    <rPh sb="2" eb="4">
      <t>シエン</t>
    </rPh>
    <rPh sb="5" eb="7">
      <t>ドウサ</t>
    </rPh>
    <rPh sb="7" eb="9">
      <t>シエン</t>
    </rPh>
    <phoneticPr fontId="1"/>
  </si>
  <si>
    <t>入浴支援</t>
    <rPh sb="0" eb="2">
      <t>ニュウヨク</t>
    </rPh>
    <rPh sb="2" eb="4">
      <t>シエン</t>
    </rPh>
    <phoneticPr fontId="1"/>
  </si>
  <si>
    <t>見守り・コミュニケーション（見守り（施設））</t>
    <rPh sb="0" eb="2">
      <t>ミマモ</t>
    </rPh>
    <rPh sb="14" eb="16">
      <t>ミマモ</t>
    </rPh>
    <rPh sb="18" eb="20">
      <t>シセツ</t>
    </rPh>
    <phoneticPr fontId="1"/>
  </si>
  <si>
    <t>見守り・コミュニケーション（見守り（在宅））</t>
    <rPh sb="0" eb="2">
      <t>ミマモ</t>
    </rPh>
    <rPh sb="14" eb="16">
      <t>ミマモ</t>
    </rPh>
    <rPh sb="18" eb="20">
      <t>ザイタク</t>
    </rPh>
    <phoneticPr fontId="1"/>
  </si>
  <si>
    <t>見守り・コミュニケーション（コミュニケーション）</t>
    <rPh sb="0" eb="2">
      <t>ミマモ</t>
    </rPh>
    <phoneticPr fontId="1"/>
  </si>
  <si>
    <t>機能訓練支援</t>
    <rPh sb="0" eb="2">
      <t>キノウ</t>
    </rPh>
    <rPh sb="2" eb="4">
      <t>クンレン</t>
    </rPh>
    <rPh sb="4" eb="6">
      <t>シエン</t>
    </rPh>
    <phoneticPr fontId="1"/>
  </si>
  <si>
    <t>食事・栄養管理支援</t>
    <rPh sb="0" eb="2">
      <t>ショクジ</t>
    </rPh>
    <rPh sb="3" eb="5">
      <t>エイヨウ</t>
    </rPh>
    <rPh sb="5" eb="7">
      <t>カンリ</t>
    </rPh>
    <rPh sb="7" eb="9">
      <t>シエン</t>
    </rPh>
    <phoneticPr fontId="1"/>
  </si>
  <si>
    <t>認知症生活支援・認知症ケア支援</t>
    <rPh sb="0" eb="3">
      <t>ニンチショウ</t>
    </rPh>
    <rPh sb="3" eb="5">
      <t>セイカツ</t>
    </rPh>
    <rPh sb="5" eb="7">
      <t>シエン</t>
    </rPh>
    <rPh sb="8" eb="11">
      <t>ニンチショウ</t>
    </rPh>
    <rPh sb="13" eb="15">
      <t>シエン</t>
    </rPh>
    <phoneticPr fontId="1"/>
  </si>
  <si>
    <t>その他（）</t>
    <rPh sb="2" eb="3">
      <t>タ</t>
    </rPh>
    <phoneticPr fontId="1"/>
  </si>
  <si>
    <t>その他の使用目的一覧</t>
    <rPh sb="2" eb="3">
      <t>タ</t>
    </rPh>
    <rPh sb="4" eb="6">
      <t>シヨウ</t>
    </rPh>
    <rPh sb="6" eb="8">
      <t>モクテキ</t>
    </rPh>
    <rPh sb="8" eb="10">
      <t>イチラン</t>
    </rPh>
    <phoneticPr fontId="1"/>
  </si>
  <si>
    <t>移乗支援</t>
    <rPh sb="0" eb="2">
      <t>イジョウ</t>
    </rPh>
    <rPh sb="2" eb="4">
      <t>シエン</t>
    </rPh>
    <phoneticPr fontId="1"/>
  </si>
  <si>
    <t>移動支援</t>
    <rPh sb="0" eb="2">
      <t>イドウ</t>
    </rPh>
    <rPh sb="2" eb="4">
      <t>シエン</t>
    </rPh>
    <phoneticPr fontId="1"/>
  </si>
  <si>
    <t>コミュニケーションの効率化</t>
    <rPh sb="10" eb="13">
      <t>コウリツカ</t>
    </rPh>
    <phoneticPr fontId="1"/>
  </si>
  <si>
    <t>バックオフィス業務の効率化</t>
    <rPh sb="7" eb="9">
      <t>ギョウム</t>
    </rPh>
    <rPh sb="10" eb="13">
      <t>コウリツカ</t>
    </rPh>
    <phoneticPr fontId="1"/>
  </si>
  <si>
    <t>バイタル測定</t>
    <rPh sb="4" eb="6">
      <t>ソクテイ</t>
    </rPh>
    <phoneticPr fontId="1"/>
  </si>
  <si>
    <t>調理・配膳支援</t>
    <rPh sb="0" eb="2">
      <t>チョウリ</t>
    </rPh>
    <rPh sb="3" eb="5">
      <t>ハイゼン</t>
    </rPh>
    <rPh sb="5" eb="7">
      <t>シエン</t>
    </rPh>
    <phoneticPr fontId="1"/>
  </si>
  <si>
    <t>福祉用具による生産性向上</t>
    <rPh sb="0" eb="2">
      <t>フクシ</t>
    </rPh>
    <rPh sb="2" eb="4">
      <t>ヨウグ</t>
    </rPh>
    <rPh sb="7" eb="10">
      <t>セイサンセイ</t>
    </rPh>
    <rPh sb="10" eb="12">
      <t>コウジョウ</t>
    </rPh>
    <phoneticPr fontId="1"/>
  </si>
  <si>
    <t>パッケージ型の連携目的一覧</t>
    <rPh sb="5" eb="6">
      <t>ガタ</t>
    </rPh>
    <rPh sb="7" eb="9">
      <t>レンケイ</t>
    </rPh>
    <rPh sb="9" eb="11">
      <t>モクテキ</t>
    </rPh>
    <rPh sb="11" eb="13">
      <t>イチラン</t>
    </rPh>
    <phoneticPr fontId="1"/>
  </si>
  <si>
    <t>Wi-Fi環境整備</t>
    <rPh sb="5" eb="7">
      <t>カンキョウ</t>
    </rPh>
    <rPh sb="7" eb="9">
      <t>セイビ</t>
    </rPh>
    <phoneticPr fontId="1"/>
  </si>
  <si>
    <t>情報端末</t>
    <rPh sb="0" eb="2">
      <t>ジョウホウ</t>
    </rPh>
    <rPh sb="2" eb="4">
      <t>タンマツ</t>
    </rPh>
    <phoneticPr fontId="1"/>
  </si>
  <si>
    <t>文書量の削減</t>
    <rPh sb="0" eb="2">
      <t>ブンショ</t>
    </rPh>
    <rPh sb="2" eb="3">
      <t>リョウ</t>
    </rPh>
    <rPh sb="4" eb="6">
      <t>サクゲン</t>
    </rPh>
    <phoneticPr fontId="1"/>
  </si>
  <si>
    <t>連携目的</t>
    <rPh sb="0" eb="2">
      <t>レンケイ</t>
    </rPh>
    <rPh sb="2" eb="4">
      <t>モクテキ</t>
    </rPh>
    <phoneticPr fontId="1"/>
  </si>
  <si>
    <t>介護予防訪問入浴介護</t>
    <rPh sb="0" eb="2">
      <t>カイゴ</t>
    </rPh>
    <rPh sb="2" eb="4">
      <t>ヨボウ</t>
    </rPh>
    <rPh sb="4" eb="6">
      <t>ホウモン</t>
    </rPh>
    <rPh sb="6" eb="8">
      <t>ニュウヨク</t>
    </rPh>
    <rPh sb="8" eb="10">
      <t>カイゴ</t>
    </rPh>
    <phoneticPr fontId="1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</si>
  <si>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1"/>
  </si>
  <si>
    <t>介護予防訪問リハビリテーション</t>
    <rPh sb="0" eb="2">
      <t>カイゴ</t>
    </rPh>
    <rPh sb="2" eb="4">
      <t>ヨボウ</t>
    </rPh>
    <rPh sb="4" eb="6">
      <t>ホウモン</t>
    </rPh>
    <phoneticPr fontId="1"/>
  </si>
  <si>
    <t>介護予防通所リハビリテーション</t>
    <rPh sb="0" eb="2">
      <t>カイゴ</t>
    </rPh>
    <rPh sb="2" eb="4">
      <t>ヨボウ</t>
    </rPh>
    <rPh sb="4" eb="6">
      <t>ツウショ</t>
    </rPh>
    <phoneticPr fontId="1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</si>
  <si>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1"/>
  </si>
  <si>
    <t>介護予防入所療養介護（介護療養型医療施設等）</t>
    <rPh sb="0" eb="2">
      <t>カイゴ</t>
    </rPh>
    <rPh sb="2" eb="4">
      <t>ヨボウ</t>
    </rPh>
    <rPh sb="4" eb="6">
      <t>ニュウショ</t>
    </rPh>
    <rPh sb="6" eb="8">
      <t>リョウヨウ</t>
    </rPh>
    <rPh sb="8" eb="10">
      <t>カイゴ</t>
    </rPh>
    <rPh sb="11" eb="13">
      <t>カイゴ</t>
    </rPh>
    <rPh sb="13" eb="16">
      <t>リョウヨウガタ</t>
    </rPh>
    <rPh sb="16" eb="18">
      <t>イリョウ</t>
    </rPh>
    <rPh sb="18" eb="20">
      <t>シセツ</t>
    </rPh>
    <rPh sb="20" eb="21">
      <t>トウ</t>
    </rPh>
    <phoneticPr fontId="1"/>
  </si>
  <si>
    <t>介護予防入所療養介護（介護老人保健施設）</t>
    <rPh sb="0" eb="2">
      <t>カイゴ</t>
    </rPh>
    <rPh sb="2" eb="4">
      <t>ヨボウ</t>
    </rPh>
    <rPh sb="4" eb="6">
      <t>ニュウショ</t>
    </rPh>
    <rPh sb="6" eb="8">
      <t>リョウヨウ</t>
    </rPh>
    <rPh sb="8" eb="10">
      <t>カイゴ</t>
    </rPh>
    <rPh sb="11" eb="13">
      <t>カイゴ</t>
    </rPh>
    <rPh sb="13" eb="15">
      <t>ロウジン</t>
    </rPh>
    <rPh sb="15" eb="17">
      <t>ホケン</t>
    </rPh>
    <rPh sb="17" eb="19">
      <t>シセツ</t>
    </rPh>
    <phoneticPr fontId="1"/>
  </si>
  <si>
    <t>介護予防短期入所療養介護（介護医療院）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rPh sb="13" eb="15">
      <t>カイゴ</t>
    </rPh>
    <rPh sb="15" eb="17">
      <t>イリョウ</t>
    </rPh>
    <rPh sb="17" eb="18">
      <t>イン</t>
    </rPh>
    <phoneticPr fontId="1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</si>
  <si>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"/>
  </si>
  <si>
    <t>介護予防小規模多機能型居宅介護（短期利用）</t>
    <rPh sb="0" eb="2">
      <t>カイゴ</t>
    </rPh>
    <rPh sb="2" eb="4">
      <t>ヨボウ</t>
    </rPh>
    <rPh sb="4" eb="7">
      <t>ショウキボ</t>
    </rPh>
    <rPh sb="7" eb="11">
      <t>タキノウガタ</t>
    </rPh>
    <rPh sb="11" eb="13">
      <t>キョタク</t>
    </rPh>
    <rPh sb="13" eb="15">
      <t>カイゴ</t>
    </rPh>
    <rPh sb="16" eb="18">
      <t>タンキ</t>
    </rPh>
    <rPh sb="18" eb="20">
      <t>リヨウ</t>
    </rPh>
    <phoneticPr fontId="1"/>
  </si>
  <si>
    <t>介護予防認知症対応型共同生活介護（短期利用）</t>
    <rPh sb="0" eb="2">
      <t>カイゴ</t>
    </rPh>
    <rPh sb="2" eb="4">
      <t>ヨボウ</t>
    </rPh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rPh sb="17" eb="19">
      <t>タンキ</t>
    </rPh>
    <rPh sb="19" eb="21">
      <t>リヨウ</t>
    </rPh>
    <phoneticPr fontId="1"/>
  </si>
  <si>
    <t>介護予防支援</t>
    <rPh sb="0" eb="2">
      <t>カイゴ</t>
    </rPh>
    <rPh sb="2" eb="4">
      <t>ヨボウ</t>
    </rPh>
    <rPh sb="4" eb="6">
      <t>シエン</t>
    </rPh>
    <phoneticPr fontId="1"/>
  </si>
  <si>
    <t>訪問型サービス（みなし）</t>
    <rPh sb="0" eb="2">
      <t>ホウモン</t>
    </rPh>
    <rPh sb="2" eb="3">
      <t>ガタ</t>
    </rPh>
    <phoneticPr fontId="1"/>
  </si>
  <si>
    <t>訪問型サービス（独自）</t>
    <rPh sb="0" eb="2">
      <t>ホウモン</t>
    </rPh>
    <rPh sb="2" eb="3">
      <t>ガタ</t>
    </rPh>
    <rPh sb="8" eb="10">
      <t>ドクジ</t>
    </rPh>
    <phoneticPr fontId="1"/>
  </si>
  <si>
    <t>訪問型サービス（独自／定率）</t>
    <rPh sb="0" eb="2">
      <t>ホウモン</t>
    </rPh>
    <rPh sb="2" eb="3">
      <t>ガタ</t>
    </rPh>
    <rPh sb="8" eb="10">
      <t>ドクジ</t>
    </rPh>
    <rPh sb="11" eb="13">
      <t>テイリツ</t>
    </rPh>
    <phoneticPr fontId="1"/>
  </si>
  <si>
    <t>訪問型サービス（独自／定額）</t>
    <rPh sb="0" eb="2">
      <t>ホウモン</t>
    </rPh>
    <rPh sb="2" eb="3">
      <t>ガタ</t>
    </rPh>
    <rPh sb="8" eb="10">
      <t>ドクジ</t>
    </rPh>
    <rPh sb="11" eb="13">
      <t>テイガク</t>
    </rPh>
    <phoneticPr fontId="1"/>
  </si>
  <si>
    <t>通所型サービス（みなし）</t>
    <rPh sb="0" eb="2">
      <t>ツウショ</t>
    </rPh>
    <rPh sb="2" eb="3">
      <t>ガタ</t>
    </rPh>
    <phoneticPr fontId="1"/>
  </si>
  <si>
    <t>通所型サービス（独自）</t>
    <rPh sb="0" eb="2">
      <t>ツウショ</t>
    </rPh>
    <rPh sb="2" eb="3">
      <t>ガタ</t>
    </rPh>
    <rPh sb="8" eb="10">
      <t>ドクジ</t>
    </rPh>
    <phoneticPr fontId="1"/>
  </si>
  <si>
    <t>通所型サービス（独自／定率）</t>
    <rPh sb="0" eb="2">
      <t>ツウショ</t>
    </rPh>
    <rPh sb="2" eb="3">
      <t>ガタ</t>
    </rPh>
    <rPh sb="8" eb="10">
      <t>ドクジ</t>
    </rPh>
    <rPh sb="11" eb="13">
      <t>テイリツ</t>
    </rPh>
    <phoneticPr fontId="1"/>
  </si>
  <si>
    <t>通所型サービス（独自／定額）</t>
    <rPh sb="0" eb="2">
      <t>ツウショ</t>
    </rPh>
    <rPh sb="2" eb="3">
      <t>ガタ</t>
    </rPh>
    <rPh sb="8" eb="10">
      <t>ドクジ</t>
    </rPh>
    <rPh sb="11" eb="13">
      <t>テイガク</t>
    </rPh>
    <phoneticPr fontId="1"/>
  </si>
  <si>
    <t>その他（）</t>
    <rPh sb="2" eb="3">
      <t>タ</t>
    </rPh>
    <phoneticPr fontId="1"/>
  </si>
  <si>
    <t>記録業務に要する時間の短縮</t>
    <rPh sb="0" eb="2">
      <t>キロク</t>
    </rPh>
    <rPh sb="2" eb="4">
      <t>ギョウム</t>
    </rPh>
    <rPh sb="5" eb="6">
      <t>ヨウ</t>
    </rPh>
    <rPh sb="8" eb="10">
      <t>ジカン</t>
    </rPh>
    <rPh sb="11" eb="13">
      <t>タンシュク</t>
    </rPh>
    <phoneticPr fontId="1"/>
  </si>
  <si>
    <t>事業所内の情報共有の効率化</t>
    <rPh sb="0" eb="3">
      <t>ジギョウショ</t>
    </rPh>
    <rPh sb="3" eb="4">
      <t>ナイ</t>
    </rPh>
    <rPh sb="5" eb="7">
      <t>ジョウホウ</t>
    </rPh>
    <rPh sb="7" eb="9">
      <t>キョウユウ</t>
    </rPh>
    <rPh sb="10" eb="13">
      <t>コウリツカ</t>
    </rPh>
    <phoneticPr fontId="1"/>
  </si>
  <si>
    <t>職員の心理的負担の軽減</t>
    <rPh sb="0" eb="2">
      <t>ショクイン</t>
    </rPh>
    <rPh sb="3" eb="6">
      <t>シンリテキ</t>
    </rPh>
    <rPh sb="6" eb="8">
      <t>フタン</t>
    </rPh>
    <rPh sb="9" eb="11">
      <t>ケイゲン</t>
    </rPh>
    <phoneticPr fontId="1"/>
  </si>
  <si>
    <t>正確かつ十分な記録のため</t>
    <rPh sb="0" eb="2">
      <t>セイカク</t>
    </rPh>
    <rPh sb="4" eb="6">
      <t>ジュウブン</t>
    </rPh>
    <rPh sb="7" eb="9">
      <t>キロク</t>
    </rPh>
    <phoneticPr fontId="1"/>
  </si>
  <si>
    <t>他事業所との情報共有の効率化</t>
    <rPh sb="0" eb="1">
      <t>タ</t>
    </rPh>
    <rPh sb="1" eb="4">
      <t>ジギョウショ</t>
    </rPh>
    <rPh sb="6" eb="8">
      <t>ジョウホウ</t>
    </rPh>
    <rPh sb="8" eb="10">
      <t>キョウユウ</t>
    </rPh>
    <rPh sb="11" eb="14">
      <t>コウリツカ</t>
    </rPh>
    <phoneticPr fontId="1"/>
  </si>
  <si>
    <t>超過勤務の削減</t>
    <rPh sb="0" eb="2">
      <t>チョウカ</t>
    </rPh>
    <rPh sb="2" eb="4">
      <t>キンム</t>
    </rPh>
    <rPh sb="5" eb="7">
      <t>サクゲン</t>
    </rPh>
    <phoneticPr fontId="1"/>
  </si>
  <si>
    <t>コンサルティング会社等による業務改善支援</t>
    <rPh sb="8" eb="10">
      <t>ガイシャ</t>
    </rPh>
    <rPh sb="10" eb="11">
      <t>トウ</t>
    </rPh>
    <rPh sb="14" eb="16">
      <t>ギョウム</t>
    </rPh>
    <rPh sb="16" eb="18">
      <t>カイゼン</t>
    </rPh>
    <rPh sb="18" eb="20">
      <t>シエン</t>
    </rPh>
    <phoneticPr fontId="1"/>
  </si>
  <si>
    <t>補助基準額
（上限額）</t>
    <rPh sb="0" eb="2">
      <t>ホジョ</t>
    </rPh>
    <rPh sb="2" eb="4">
      <t>キジュン</t>
    </rPh>
    <rPh sb="4" eb="5">
      <t>ガク</t>
    </rPh>
    <rPh sb="7" eb="9">
      <t>ジョウゲン</t>
    </rPh>
    <rPh sb="9" eb="10">
      <t>ガク</t>
    </rPh>
    <phoneticPr fontId="1"/>
  </si>
  <si>
    <t>寄付金その他収入</t>
    <rPh sb="0" eb="3">
      <t>キフキン</t>
    </rPh>
    <rPh sb="5" eb="6">
      <t>タ</t>
    </rPh>
    <rPh sb="6" eb="8">
      <t>シュウニュウ</t>
    </rPh>
    <phoneticPr fontId="1"/>
  </si>
  <si>
    <t>差引額</t>
    <rPh sb="0" eb="3">
      <t>サシヒキガク</t>
    </rPh>
    <phoneticPr fontId="1"/>
  </si>
  <si>
    <t>TAIS掲載の
有無</t>
    <rPh sb="4" eb="6">
      <t>ケイサイ</t>
    </rPh>
    <rPh sb="8" eb="10">
      <t>ウム</t>
    </rPh>
    <phoneticPr fontId="1"/>
  </si>
  <si>
    <t>付帯費用（情報端末①）</t>
    <rPh sb="0" eb="2">
      <t>フタイ</t>
    </rPh>
    <rPh sb="2" eb="4">
      <t>ヒヨウ</t>
    </rPh>
    <rPh sb="5" eb="7">
      <t>ジョウホウ</t>
    </rPh>
    <rPh sb="7" eb="9">
      <t>タンマツ</t>
    </rPh>
    <phoneticPr fontId="1"/>
  </si>
  <si>
    <t>付帯費用（情報端末②）</t>
    <rPh sb="0" eb="2">
      <t>フタイ</t>
    </rPh>
    <rPh sb="2" eb="4">
      <t>ヒヨウ</t>
    </rPh>
    <rPh sb="5" eb="7">
      <t>ジョウホウ</t>
    </rPh>
    <rPh sb="7" eb="9">
      <t>タンマツ</t>
    </rPh>
    <phoneticPr fontId="1"/>
  </si>
  <si>
    <t>付帯費用（情報端末③）</t>
    <rPh sb="0" eb="2">
      <t>フタイ</t>
    </rPh>
    <rPh sb="2" eb="4">
      <t>ヒヨウ</t>
    </rPh>
    <rPh sb="5" eb="7">
      <t>ジョウホウ</t>
    </rPh>
    <rPh sb="7" eb="9">
      <t>タンマツ</t>
    </rPh>
    <phoneticPr fontId="1"/>
  </si>
  <si>
    <t>付帯費用（情報端末以外）</t>
    <rPh sb="0" eb="2">
      <t>フタイ</t>
    </rPh>
    <rPh sb="2" eb="4">
      <t>ヒヨウ</t>
    </rPh>
    <rPh sb="5" eb="7">
      <t>ジョウホウ</t>
    </rPh>
    <rPh sb="7" eb="9">
      <t>タンマツ</t>
    </rPh>
    <rPh sb="9" eb="11">
      <t>イガイ</t>
    </rPh>
    <phoneticPr fontId="1"/>
  </si>
  <si>
    <t>1台（1式）
あたりの金額（税込）</t>
    <rPh sb="1" eb="2">
      <t>ダイ</t>
    </rPh>
    <rPh sb="4" eb="5">
      <t>シキ</t>
    </rPh>
    <rPh sb="11" eb="13">
      <t>キンガク</t>
    </rPh>
    <rPh sb="14" eb="16">
      <t>ゼイコ</t>
    </rPh>
    <phoneticPr fontId="1"/>
  </si>
  <si>
    <t>介護ソフト名、機器名</t>
    <rPh sb="0" eb="2">
      <t>カイゴ</t>
    </rPh>
    <rPh sb="5" eb="6">
      <t>メイ</t>
    </rPh>
    <rPh sb="7" eb="10">
      <t>キキメイ</t>
    </rPh>
    <phoneticPr fontId="1"/>
  </si>
  <si>
    <t>5事業所以上とデータ連携を実施</t>
  </si>
  <si>
    <t>ケアプランデータ
連携システム</t>
    <rPh sb="9" eb="11">
      <t>レンケイ</t>
    </rPh>
    <phoneticPr fontId="1"/>
  </si>
  <si>
    <t>契約形態</t>
    <rPh sb="0" eb="2">
      <t>ケイヤク</t>
    </rPh>
    <rPh sb="2" eb="4">
      <t>ケイタイ</t>
    </rPh>
    <phoneticPr fontId="1"/>
  </si>
  <si>
    <t>1台
あたりの金額（税込）</t>
    <rPh sb="1" eb="2">
      <t>ダイ</t>
    </rPh>
    <rPh sb="7" eb="9">
      <t>キンガク</t>
    </rPh>
    <rPh sb="10" eb="12">
      <t>ゼイコ</t>
    </rPh>
    <phoneticPr fontId="1"/>
  </si>
  <si>
    <t>総事業費</t>
    <rPh sb="0" eb="1">
      <t>ソウ</t>
    </rPh>
    <rPh sb="1" eb="4">
      <t>ジギョウヒ</t>
    </rPh>
    <phoneticPr fontId="1"/>
  </si>
  <si>
    <t>A</t>
    <phoneticPr fontId="1"/>
  </si>
  <si>
    <t>B</t>
    <phoneticPr fontId="1"/>
  </si>
  <si>
    <t>C(A-B)</t>
    <phoneticPr fontId="1"/>
  </si>
  <si>
    <t>D</t>
    <phoneticPr fontId="1"/>
  </si>
  <si>
    <t>E</t>
    <phoneticPr fontId="1"/>
  </si>
  <si>
    <t>F(D×E)</t>
    <phoneticPr fontId="1"/>
  </si>
  <si>
    <t>G(F×3/4)</t>
    <phoneticPr fontId="1"/>
  </si>
  <si>
    <t>H</t>
    <phoneticPr fontId="1"/>
  </si>
  <si>
    <t>I</t>
    <phoneticPr fontId="1"/>
  </si>
  <si>
    <t>総事業費</t>
    <rPh sb="0" eb="1">
      <t>ソウ</t>
    </rPh>
    <rPh sb="1" eb="4">
      <t>ジギョウヒ</t>
    </rPh>
    <phoneticPr fontId="1"/>
  </si>
  <si>
    <t>寄付金その他収入</t>
    <rPh sb="0" eb="3">
      <t>キフキン</t>
    </rPh>
    <rPh sb="5" eb="8">
      <t>タシュウニュウ</t>
    </rPh>
    <phoneticPr fontId="1"/>
  </si>
  <si>
    <t>差引額</t>
    <rPh sb="0" eb="3">
      <t>サシヒキガク</t>
    </rPh>
    <phoneticPr fontId="1"/>
  </si>
  <si>
    <t>情報端末①</t>
    <rPh sb="0" eb="2">
      <t>ジョウホウ</t>
    </rPh>
    <rPh sb="2" eb="4">
      <t>タンマツ</t>
    </rPh>
    <phoneticPr fontId="1"/>
  </si>
  <si>
    <t>情報端末②</t>
    <rPh sb="0" eb="2">
      <t>ジョウホウ</t>
    </rPh>
    <rPh sb="2" eb="4">
      <t>タンマツ</t>
    </rPh>
    <phoneticPr fontId="1"/>
  </si>
  <si>
    <t>情報端末③</t>
    <rPh sb="0" eb="2">
      <t>ジョウホウ</t>
    </rPh>
    <rPh sb="2" eb="4">
      <t>タンマツ</t>
    </rPh>
    <phoneticPr fontId="1"/>
  </si>
  <si>
    <t>情報端末以外</t>
    <rPh sb="0" eb="2">
      <t>ジョウホウ</t>
    </rPh>
    <rPh sb="2" eb="4">
      <t>タンマツ</t>
    </rPh>
    <rPh sb="4" eb="6">
      <t>イガイ</t>
    </rPh>
    <phoneticPr fontId="1"/>
  </si>
  <si>
    <t>補助対象額</t>
    <rPh sb="0" eb="2">
      <t>ホジョ</t>
    </rPh>
    <rPh sb="2" eb="5">
      <t>タイショウガク</t>
    </rPh>
    <phoneticPr fontId="1"/>
  </si>
  <si>
    <t>補助対象額
計</t>
    <rPh sb="0" eb="2">
      <t>ホジョ</t>
    </rPh>
    <rPh sb="2" eb="5">
      <t>タイショウガク</t>
    </rPh>
    <rPh sb="6" eb="7">
      <t>ケイ</t>
    </rPh>
    <phoneticPr fontId="1"/>
  </si>
  <si>
    <t>C,H,Iのうち
最も少ない額</t>
    <rPh sb="9" eb="10">
      <t>モット</t>
    </rPh>
    <rPh sb="11" eb="12">
      <t>スク</t>
    </rPh>
    <rPh sb="14" eb="15">
      <t>ガク</t>
    </rPh>
    <phoneticPr fontId="1"/>
  </si>
  <si>
    <t>G</t>
    <phoneticPr fontId="1"/>
  </si>
  <si>
    <t>H(Gの合計)</t>
    <rPh sb="4" eb="6">
      <t>ゴウケイ</t>
    </rPh>
    <phoneticPr fontId="1"/>
  </si>
  <si>
    <t>E(D×3/4)</t>
    <phoneticPr fontId="1"/>
  </si>
  <si>
    <t>F(Eの合計)</t>
    <rPh sb="4" eb="6">
      <t>ゴウケイ</t>
    </rPh>
    <phoneticPr fontId="1"/>
  </si>
  <si>
    <t>C,F,Gのうち
最も少ない額</t>
    <rPh sb="9" eb="10">
      <t>モット</t>
    </rPh>
    <rPh sb="11" eb="12">
      <t>スク</t>
    </rPh>
    <rPh sb="14" eb="15">
      <t>ガク</t>
    </rPh>
    <phoneticPr fontId="1"/>
  </si>
  <si>
    <t>区分：重点分野に該当する介護テクノロジーの導入支援</t>
    <rPh sb="0" eb="2">
      <t>クブン</t>
    </rPh>
    <phoneticPr fontId="1"/>
  </si>
  <si>
    <t>見守り・コミュニケーション（施設）</t>
  </si>
  <si>
    <t>○○社○○センサー</t>
    <rPh sb="2" eb="3">
      <t>シャ</t>
    </rPh>
    <phoneticPr fontId="1"/>
  </si>
  <si>
    <t>有</t>
  </si>
  <si>
    <t>○○社製タブレット</t>
    <rPh sb="2" eb="4">
      <t>シャセイ</t>
    </rPh>
    <phoneticPr fontId="1"/>
  </si>
  <si>
    <t>○○社製スマートフォン</t>
    <rPh sb="2" eb="4">
      <t>シャセイ</t>
    </rPh>
    <phoneticPr fontId="1"/>
  </si>
  <si>
    <t>○○社製パソコン</t>
    <rPh sb="2" eb="4">
      <t>シャセイ</t>
    </rPh>
    <phoneticPr fontId="1"/>
  </si>
  <si>
    <t>Wi-Fi工事</t>
    <rPh sb="5" eb="7">
      <t>コウジ</t>
    </rPh>
    <phoneticPr fontId="1"/>
  </si>
  <si>
    <t>入浴支援</t>
  </si>
  <si>
    <t>○○社○○リフト</t>
    <rPh sb="2" eb="3">
      <t>シャ</t>
    </rPh>
    <phoneticPr fontId="1"/>
  </si>
  <si>
    <t>無</t>
  </si>
  <si>
    <t>機器組み立て</t>
    <rPh sb="0" eb="2">
      <t>キキ</t>
    </rPh>
    <rPh sb="2" eb="3">
      <t>ク</t>
    </rPh>
    <rPh sb="4" eb="5">
      <t>タ</t>
    </rPh>
    <phoneticPr fontId="1"/>
  </si>
  <si>
    <t>○○社製○○スーツ</t>
    <rPh sb="2" eb="4">
      <t>シャセイ</t>
    </rPh>
    <phoneticPr fontId="1"/>
  </si>
  <si>
    <t>移乗支援（装着）</t>
  </si>
  <si>
    <t>○○社製介護ソフト</t>
    <rPh sb="2" eb="4">
      <t>シャセイ</t>
    </rPh>
    <rPh sb="4" eb="6">
      <t>カイゴ</t>
    </rPh>
    <phoneticPr fontId="1"/>
  </si>
  <si>
    <t>職員数により合計金額が変動する</t>
  </si>
  <si>
    <t>○○社製インカム</t>
    <rPh sb="2" eb="4">
      <t>シャセイ</t>
    </rPh>
    <phoneticPr fontId="1"/>
  </si>
  <si>
    <t>○○社製温冷機能付き配膳車</t>
    <rPh sb="0" eb="4">
      <t>マルマルシャセイ</t>
    </rPh>
    <rPh sb="4" eb="6">
      <t>オンレイ</t>
    </rPh>
    <rPh sb="6" eb="8">
      <t>キノウ</t>
    </rPh>
    <rPh sb="8" eb="9">
      <t>ツ</t>
    </rPh>
    <rPh sb="10" eb="12">
      <t>ハイゼン</t>
    </rPh>
    <rPh sb="12" eb="13">
      <t>シャ</t>
    </rPh>
    <phoneticPr fontId="1"/>
  </si>
  <si>
    <t>○○社製○○センサー</t>
    <rPh sb="2" eb="4">
      <t>シャセイ</t>
    </rPh>
    <phoneticPr fontId="1"/>
  </si>
  <si>
    <t>○○コンサルタント派遣</t>
    <rPh sb="9" eb="11">
      <t>ハケン</t>
    </rPh>
    <phoneticPr fontId="1"/>
  </si>
  <si>
    <t>別紙１－２－③介護ソフト用（施設系サービス）</t>
    <rPh sb="0" eb="2">
      <t>ベッシ</t>
    </rPh>
    <rPh sb="7" eb="9">
      <t>カイゴ</t>
    </rPh>
    <rPh sb="12" eb="13">
      <t>ヨウ</t>
    </rPh>
    <rPh sb="14" eb="16">
      <t>シセツ</t>
    </rPh>
    <rPh sb="16" eb="17">
      <t>ケイ</t>
    </rPh>
    <phoneticPr fontId="1"/>
  </si>
  <si>
    <t>別紙１－２－⑥業務改善支援</t>
    <rPh sb="0" eb="2">
      <t>ベッシ</t>
    </rPh>
    <rPh sb="7" eb="9">
      <t>ギョウム</t>
    </rPh>
    <rPh sb="9" eb="11">
      <t>カイゼン</t>
    </rPh>
    <rPh sb="11" eb="13">
      <t>シエン</t>
    </rPh>
    <phoneticPr fontId="1"/>
  </si>
  <si>
    <t>パッケージとしての活用方法の詳細</t>
    <rPh sb="9" eb="11">
      <t>カツヨウ</t>
    </rPh>
    <rPh sb="11" eb="13">
      <t>ホウホウ</t>
    </rPh>
    <rPh sb="14" eb="16">
      <t>ショウサイ</t>
    </rPh>
    <phoneticPr fontId="1"/>
  </si>
  <si>
    <t>見守りセンサーと介護ソフトを連携させることにより、センサーのデータを自動的に介護記録に反映することができる。夜間はもとよりベッド臥床中も活動を確認できる。また、インカムでは職員間の情報を即座に共有できるため、利用者の状態等の把握に役立ち、ケアの質を向上させることができる。</t>
    <phoneticPr fontId="1"/>
  </si>
  <si>
    <t>（名）</t>
    <rPh sb="1" eb="2">
      <t>メイ</t>
    </rPh>
    <phoneticPr fontId="1"/>
  </si>
  <si>
    <t>（円）</t>
    <rPh sb="1" eb="2">
      <t>エン</t>
    </rPh>
    <phoneticPr fontId="1"/>
  </si>
  <si>
    <t>（台）</t>
    <rPh sb="1" eb="2">
      <t>ダイ</t>
    </rPh>
    <phoneticPr fontId="1"/>
  </si>
  <si>
    <t>県補助金所要額</t>
    <rPh sb="0" eb="1">
      <t>ケン</t>
    </rPh>
    <rPh sb="1" eb="4">
      <t>ホジョキン</t>
    </rPh>
    <rPh sb="4" eb="7">
      <t>ショヨウガク</t>
    </rPh>
    <phoneticPr fontId="1"/>
  </si>
  <si>
    <t>J（C,H,Iのうち
最も少ない額）</t>
    <rPh sb="11" eb="12">
      <t>モット</t>
    </rPh>
    <rPh sb="13" eb="14">
      <t>スク</t>
    </rPh>
    <rPh sb="16" eb="17">
      <t>ガク</t>
    </rPh>
    <phoneticPr fontId="1"/>
  </si>
  <si>
    <t>K</t>
    <phoneticPr fontId="1"/>
  </si>
  <si>
    <t>I(C,G,Hのうち
最も少ない額）</t>
    <rPh sb="11" eb="12">
      <t>モット</t>
    </rPh>
    <rPh sb="13" eb="14">
      <t>スク</t>
    </rPh>
    <rPh sb="16" eb="17">
      <t>ガク</t>
    </rPh>
    <phoneticPr fontId="1"/>
  </si>
  <si>
    <t>J</t>
    <phoneticPr fontId="1"/>
  </si>
  <si>
    <t>H(C,F,Gのうち
最も少ない額）</t>
    <rPh sb="11" eb="12">
      <t>モット</t>
    </rPh>
    <rPh sb="13" eb="14">
      <t>スク</t>
    </rPh>
    <rPh sb="16" eb="17">
      <t>ガク</t>
    </rPh>
    <phoneticPr fontId="1"/>
  </si>
  <si>
    <t>交付決定額</t>
    <rPh sb="0" eb="2">
      <t>コウフ</t>
    </rPh>
    <rPh sb="2" eb="5">
      <t>ケッテイガク</t>
    </rPh>
    <phoneticPr fontId="1"/>
  </si>
  <si>
    <t>受入済額</t>
    <rPh sb="0" eb="1">
      <t>ウ</t>
    </rPh>
    <rPh sb="1" eb="2">
      <t>イ</t>
    </rPh>
    <rPh sb="2" eb="3">
      <t>ズ</t>
    </rPh>
    <rPh sb="3" eb="4">
      <t>ガク</t>
    </rPh>
    <phoneticPr fontId="1"/>
  </si>
  <si>
    <t>L</t>
    <phoneticPr fontId="1"/>
  </si>
  <si>
    <t>M（J,Kのうち少ない額-L）</t>
    <rPh sb="8" eb="9">
      <t>スク</t>
    </rPh>
    <rPh sb="11" eb="12">
      <t>ガク</t>
    </rPh>
    <phoneticPr fontId="1"/>
  </si>
  <si>
    <t>差引県費
補助金所要額</t>
    <rPh sb="0" eb="2">
      <t>サシヒキ</t>
    </rPh>
    <rPh sb="2" eb="4">
      <t>ケンピ</t>
    </rPh>
    <rPh sb="5" eb="8">
      <t>ホジョキン</t>
    </rPh>
    <rPh sb="8" eb="11">
      <t>ショヨウガク</t>
    </rPh>
    <phoneticPr fontId="1"/>
  </si>
  <si>
    <t>L（I,Jのうち少ない額-K）</t>
    <rPh sb="8" eb="9">
      <t>スク</t>
    </rPh>
    <rPh sb="11" eb="12">
      <t>ガク</t>
    </rPh>
    <phoneticPr fontId="1"/>
  </si>
  <si>
    <t>K(H,Iのうち少ない額-J）</t>
    <rPh sb="8" eb="9">
      <t>スク</t>
    </rPh>
    <rPh sb="11" eb="12">
      <t>ガク</t>
    </rPh>
    <phoneticPr fontId="1"/>
  </si>
  <si>
    <t>補助金所要額精算書</t>
    <rPh sb="0" eb="3">
      <t>ホジョキン</t>
    </rPh>
    <rPh sb="3" eb="5">
      <t>ショヨウ</t>
    </rPh>
    <rPh sb="5" eb="6">
      <t>ガク</t>
    </rPh>
    <rPh sb="6" eb="9">
      <t>セイサンショ</t>
    </rPh>
    <phoneticPr fontId="1"/>
  </si>
  <si>
    <t>軽費老人ホーム</t>
    <rPh sb="0" eb="4">
      <t>ケイヒロウジン</t>
    </rPh>
    <phoneticPr fontId="1"/>
  </si>
  <si>
    <t>養護老人ホーム</t>
    <rPh sb="0" eb="4">
      <t>ヨウゴロウジン</t>
    </rPh>
    <phoneticPr fontId="1"/>
  </si>
  <si>
    <t>その他</t>
    <rPh sb="2" eb="3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</si>
</sst>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b/>
      <sz val="11"/>
      <color theme="1"/>
      <name val="Yu Gothic"/>
      <family val="3"/>
      <charset val="128"/>
      <scheme val="minor"/>
    </font>
    <font>
      <sz val="18"/>
      <color rgb="FFFF0000"/>
      <name val="ＤＦ特太ゴシック体"/>
      <family val="3"/>
      <charset val="128"/>
    </font>
    <font>
      <sz val="8"/>
      <color theme="1"/>
      <name val="Yu Gothic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rgb="FFFF0000"/>
      <name val="Yu Gothic"/>
      <family val="2"/>
      <scheme val="minor"/>
    </font>
    <font>
      <sz val="11"/>
      <color rgb="FFFF0000"/>
      <name val="Yu Gothic"/>
      <family val="3"/>
      <charset val="128"/>
      <scheme val="minor"/>
    </font>
    <font>
      <sz val="8"/>
      <color rgb="FFFF0000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u/>
      <sz val="14"/>
      <color theme="10"/>
      <name val="Yu Gothic"/>
      <family val="2"/>
      <scheme val="minor"/>
    </font>
    <font>
      <b/>
      <sz val="18"/>
      <color rgb="FFFF0000"/>
      <name val="Yu Gothic"/>
      <family val="3"/>
      <charset val="128"/>
      <scheme val="minor"/>
    </font>
    <font>
      <b/>
      <sz val="11"/>
      <color indexed="81"/>
      <name val="MS P ゴシック"/>
      <family val="3"/>
      <charset val="128"/>
    </font>
    <font>
      <b/>
      <sz val="11"/>
      <color rgb="FFFF0000"/>
      <name val="Yu Gothic"/>
      <family val="3"/>
      <charset val="128"/>
      <scheme val="minor"/>
    </font>
    <font>
      <sz val="11"/>
      <name val="Yu Gothic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38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/>
  </cellStyleXfs>
  <cellXfs count="22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6" xfId="0" applyBorder="1"/>
    <xf numFmtId="0" fontId="0" fillId="0" borderId="0" xfId="0" applyBorder="1"/>
    <xf numFmtId="0" fontId="0" fillId="0" borderId="5" xfId="0" applyBorder="1"/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/>
    <xf numFmtId="0" fontId="4" fillId="3" borderId="1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38" fontId="0" fillId="0" borderId="1" xfId="1" applyFont="1" applyBorder="1" applyAlignment="1">
      <alignment vertical="center"/>
    </xf>
    <xf numFmtId="38" fontId="0" fillId="2" borderId="8" xfId="1" applyFont="1" applyFill="1" applyBorder="1" applyAlignment="1">
      <alignment vertical="center"/>
    </xf>
    <xf numFmtId="38" fontId="0" fillId="2" borderId="9" xfId="1" applyFont="1" applyFill="1" applyBorder="1" applyAlignment="1">
      <alignment vertical="center"/>
    </xf>
    <xf numFmtId="38" fontId="0" fillId="0" borderId="6" xfId="1" applyFont="1" applyBorder="1" applyAlignment="1">
      <alignment vertical="center"/>
    </xf>
    <xf numFmtId="38" fontId="0" fillId="4" borderId="13" xfId="1" applyFont="1" applyFill="1" applyBorder="1" applyAlignment="1">
      <alignment vertical="center"/>
    </xf>
    <xf numFmtId="38" fontId="0" fillId="3" borderId="13" xfId="1" applyFont="1" applyFill="1" applyBorder="1" applyAlignment="1">
      <alignment vertical="center"/>
    </xf>
    <xf numFmtId="38" fontId="0" fillId="2" borderId="13" xfId="1" applyFont="1" applyFill="1" applyBorder="1" applyAlignment="1">
      <alignment vertical="center"/>
    </xf>
    <xf numFmtId="38" fontId="0" fillId="2" borderId="14" xfId="1" applyFont="1" applyFill="1" applyBorder="1" applyAlignment="1">
      <alignment vertical="center"/>
    </xf>
    <xf numFmtId="38" fontId="0" fillId="0" borderId="13" xfId="1" applyFont="1" applyFill="1" applyBorder="1" applyAlignment="1">
      <alignment vertical="center"/>
    </xf>
    <xf numFmtId="38" fontId="0" fillId="0" borderId="14" xfId="1" applyFont="1" applyFill="1" applyBorder="1" applyAlignment="1">
      <alignment vertical="center"/>
    </xf>
    <xf numFmtId="38" fontId="0" fillId="0" borderId="9" xfId="1" applyFont="1" applyFill="1" applyBorder="1" applyAlignment="1">
      <alignment vertical="center"/>
    </xf>
    <xf numFmtId="38" fontId="0" fillId="0" borderId="1" xfId="0" applyNumberFormat="1" applyBorder="1"/>
    <xf numFmtId="38" fontId="0" fillId="2" borderId="7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38" fontId="0" fillId="4" borderId="15" xfId="1" applyFont="1" applyFill="1" applyBorder="1" applyAlignment="1">
      <alignment vertical="center"/>
    </xf>
    <xf numFmtId="38" fontId="0" fillId="0" borderId="15" xfId="1" applyFont="1" applyFill="1" applyBorder="1" applyAlignment="1">
      <alignment vertical="center"/>
    </xf>
    <xf numFmtId="38" fontId="0" fillId="0" borderId="9" xfId="1" applyFont="1" applyFill="1" applyBorder="1" applyAlignment="1">
      <alignment vertical="center" wrapText="1"/>
    </xf>
    <xf numFmtId="38" fontId="0" fillId="0" borderId="14" xfId="1" applyFont="1" applyFill="1" applyBorder="1" applyAlignment="1">
      <alignment vertical="center" wrapText="1"/>
    </xf>
    <xf numFmtId="38" fontId="0" fillId="0" borderId="16" xfId="1" applyFont="1" applyFill="1" applyBorder="1" applyAlignment="1">
      <alignment vertical="center"/>
    </xf>
    <xf numFmtId="38" fontId="0" fillId="0" borderId="13" xfId="1" applyFont="1" applyFill="1" applyBorder="1" applyAlignment="1">
      <alignment vertical="center" wrapText="1"/>
    </xf>
    <xf numFmtId="38" fontId="0" fillId="0" borderId="17" xfId="1" applyFont="1" applyFill="1" applyBorder="1" applyAlignment="1">
      <alignment vertical="center"/>
    </xf>
    <xf numFmtId="38" fontId="6" fillId="3" borderId="13" xfId="1" applyFont="1" applyFill="1" applyBorder="1" applyAlignment="1">
      <alignment horizontal="center" vertical="center"/>
    </xf>
    <xf numFmtId="38" fontId="0" fillId="0" borderId="3" xfId="1" applyFont="1" applyBorder="1" applyAlignment="1">
      <alignment vertical="center"/>
    </xf>
    <xf numFmtId="38" fontId="0" fillId="0" borderId="4" xfId="1" applyFont="1" applyBorder="1" applyAlignment="1">
      <alignment vertical="center"/>
    </xf>
    <xf numFmtId="38" fontId="0" fillId="2" borderId="7" xfId="1" applyFont="1" applyFill="1" applyBorder="1" applyAlignment="1">
      <alignment vertical="center"/>
    </xf>
    <xf numFmtId="38" fontId="0" fillId="0" borderId="9" xfId="1" applyFont="1" applyFill="1" applyBorder="1" applyAlignment="1">
      <alignment vertical="center"/>
    </xf>
    <xf numFmtId="38" fontId="0" fillId="0" borderId="1" xfId="1" applyFont="1" applyBorder="1" applyAlignment="1">
      <alignment horizontal="right" vertical="center"/>
    </xf>
    <xf numFmtId="0" fontId="0" fillId="0" borderId="0" xfId="0" applyAlignment="1">
      <alignment horizontal="center"/>
    </xf>
    <xf numFmtId="38" fontId="0" fillId="0" borderId="1" xfId="1" applyFont="1" applyFill="1" applyBorder="1" applyAlignment="1">
      <alignment horizontal="center" vertical="center"/>
    </xf>
    <xf numFmtId="0" fontId="0" fillId="0" borderId="14" xfId="0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38" fontId="0" fillId="2" borderId="18" xfId="1" applyFont="1" applyFill="1" applyBorder="1" applyAlignment="1">
      <alignment vertical="center"/>
    </xf>
    <xf numFmtId="38" fontId="0" fillId="0" borderId="18" xfId="1" applyFont="1" applyFill="1" applyBorder="1" applyAlignment="1">
      <alignment vertical="center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38" fontId="0" fillId="2" borderId="7" xfId="1" applyFont="1" applyFill="1" applyBorder="1" applyAlignment="1">
      <alignment vertical="center"/>
    </xf>
    <xf numFmtId="38" fontId="0" fillId="2" borderId="8" xfId="1" applyFont="1" applyFill="1" applyBorder="1" applyAlignment="1">
      <alignment vertical="center"/>
    </xf>
    <xf numFmtId="38" fontId="0" fillId="2" borderId="9" xfId="1" applyFont="1" applyFill="1" applyBorder="1" applyAlignment="1">
      <alignment vertical="center"/>
    </xf>
    <xf numFmtId="38" fontId="0" fillId="0" borderId="9" xfId="1" applyFont="1" applyFill="1" applyBorder="1" applyAlignment="1">
      <alignment vertical="center"/>
    </xf>
    <xf numFmtId="38" fontId="0" fillId="0" borderId="1" xfId="1" applyFont="1" applyBorder="1" applyAlignment="1">
      <alignment horizontal="right" vertical="center"/>
    </xf>
    <xf numFmtId="38" fontId="0" fillId="4" borderId="9" xfId="1" applyFont="1" applyFill="1" applyBorder="1" applyAlignment="1">
      <alignment vertical="center"/>
    </xf>
    <xf numFmtId="0" fontId="0" fillId="0" borderId="0" xfId="0" applyAlignment="1">
      <alignment horizontal="center"/>
    </xf>
    <xf numFmtId="38" fontId="8" fillId="3" borderId="13" xfId="1" applyFont="1" applyFill="1" applyBorder="1" applyAlignment="1">
      <alignment vertical="center" wrapText="1"/>
    </xf>
    <xf numFmtId="38" fontId="9" fillId="4" borderId="13" xfId="1" applyFont="1" applyFill="1" applyBorder="1" applyAlignment="1">
      <alignment vertical="center"/>
    </xf>
    <xf numFmtId="38" fontId="9" fillId="3" borderId="13" xfId="1" applyFont="1" applyFill="1" applyBorder="1" applyAlignment="1">
      <alignment vertical="center"/>
    </xf>
    <xf numFmtId="38" fontId="9" fillId="4" borderId="15" xfId="1" applyFont="1" applyFill="1" applyBorder="1" applyAlignment="1">
      <alignment vertical="center"/>
    </xf>
    <xf numFmtId="38" fontId="9" fillId="4" borderId="9" xfId="1" applyFont="1" applyFill="1" applyBorder="1" applyAlignment="1">
      <alignment vertical="center"/>
    </xf>
    <xf numFmtId="38" fontId="9" fillId="0" borderId="16" xfId="1" applyFont="1" applyFill="1" applyBorder="1" applyAlignment="1">
      <alignment vertical="center"/>
    </xf>
    <xf numFmtId="38" fontId="10" fillId="3" borderId="13" xfId="1" applyFont="1" applyFill="1" applyBorder="1" applyAlignment="1">
      <alignment horizontal="center" vertical="center"/>
    </xf>
    <xf numFmtId="38" fontId="8" fillId="4" borderId="13" xfId="1" applyFont="1" applyFill="1" applyBorder="1" applyAlignment="1">
      <alignment vertical="center"/>
    </xf>
    <xf numFmtId="38" fontId="9" fillId="4" borderId="1" xfId="1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9" fillId="4" borderId="9" xfId="0" applyFont="1" applyFill="1" applyBorder="1" applyAlignment="1">
      <alignment vertical="center"/>
    </xf>
    <xf numFmtId="0" fontId="9" fillId="4" borderId="18" xfId="0" applyFont="1" applyFill="1" applyBorder="1" applyAlignment="1">
      <alignment vertical="center"/>
    </xf>
    <xf numFmtId="0" fontId="9" fillId="5" borderId="13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vertical="center"/>
    </xf>
    <xf numFmtId="0" fontId="9" fillId="5" borderId="14" xfId="0" applyFont="1" applyFill="1" applyBorder="1" applyAlignment="1">
      <alignment horizontal="left" vertical="center" wrapText="1"/>
    </xf>
    <xf numFmtId="0" fontId="9" fillId="3" borderId="14" xfId="0" applyFont="1" applyFill="1" applyBorder="1" applyAlignment="1">
      <alignment vertical="center"/>
    </xf>
    <xf numFmtId="0" fontId="9" fillId="5" borderId="18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vertical="center"/>
    </xf>
    <xf numFmtId="38" fontId="9" fillId="4" borderId="14" xfId="1" applyFont="1" applyFill="1" applyBorder="1" applyAlignment="1">
      <alignment vertical="center"/>
    </xf>
    <xf numFmtId="38" fontId="9" fillId="4" borderId="18" xfId="1" applyFont="1" applyFill="1" applyBorder="1" applyAlignment="1">
      <alignment vertical="center"/>
    </xf>
    <xf numFmtId="0" fontId="12" fillId="0" borderId="0" xfId="2" applyFont="1" applyAlignment="1">
      <alignment vertical="center"/>
    </xf>
    <xf numFmtId="38" fontId="9" fillId="4" borderId="9" xfId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8" fillId="5" borderId="13" xfId="0" applyFont="1" applyFill="1" applyBorder="1" applyAlignment="1">
      <alignment horizontal="left" vertical="center" wrapText="1"/>
    </xf>
    <xf numFmtId="0" fontId="9" fillId="5" borderId="14" xfId="0" applyFont="1" applyFill="1" applyBorder="1" applyAlignment="1">
      <alignment horizontal="center" vertical="center"/>
    </xf>
    <xf numFmtId="0" fontId="9" fillId="4" borderId="14" xfId="0" applyFont="1" applyFill="1" applyBorder="1"/>
    <xf numFmtId="0" fontId="9" fillId="5" borderId="9" xfId="0" applyFont="1" applyFill="1" applyBorder="1" applyAlignment="1">
      <alignment horizontal="center" vertical="center"/>
    </xf>
    <xf numFmtId="0" fontId="9" fillId="4" borderId="9" xfId="0" applyFont="1" applyFill="1" applyBorder="1"/>
    <xf numFmtId="38" fontId="0" fillId="0" borderId="7" xfId="1" applyFont="1" applyBorder="1" applyAlignment="1">
      <alignment horizontal="center" vertical="center" wrapText="1"/>
    </xf>
    <xf numFmtId="38" fontId="8" fillId="3" borderId="15" xfId="1" applyFont="1" applyFill="1" applyBorder="1" applyAlignment="1">
      <alignment vertical="center" wrapText="1"/>
    </xf>
    <xf numFmtId="38" fontId="9" fillId="3" borderId="15" xfId="1" applyFont="1" applyFill="1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38" fontId="0" fillId="0" borderId="9" xfId="1" applyFont="1" applyBorder="1" applyAlignment="1">
      <alignment horizontal="center" vertical="center" wrapText="1"/>
    </xf>
    <xf numFmtId="38" fontId="0" fillId="0" borderId="9" xfId="1" applyFont="1" applyBorder="1" applyAlignment="1">
      <alignment horizontal="right" vertical="center" wrapText="1"/>
    </xf>
    <xf numFmtId="38" fontId="0" fillId="0" borderId="8" xfId="1" applyFont="1" applyBorder="1" applyAlignment="1">
      <alignment horizontal="center" vertical="center" wrapText="1"/>
    </xf>
    <xf numFmtId="38" fontId="0" fillId="0" borderId="8" xfId="1" applyFont="1" applyBorder="1" applyAlignment="1">
      <alignment horizontal="right" vertical="center" wrapText="1"/>
    </xf>
    <xf numFmtId="38" fontId="2" fillId="0" borderId="7" xfId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38" fontId="0" fillId="0" borderId="20" xfId="1" applyFont="1" applyBorder="1" applyAlignment="1">
      <alignment horizontal="right" vertical="center" wrapText="1"/>
    </xf>
    <xf numFmtId="0" fontId="0" fillId="0" borderId="0" xfId="0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38" fontId="8" fillId="3" borderId="13" xfId="1" applyFont="1" applyFill="1" applyBorder="1" applyAlignment="1">
      <alignment horizontal="center" vertical="center"/>
    </xf>
    <xf numFmtId="38" fontId="9" fillId="3" borderId="13" xfId="1" applyFont="1" applyFill="1" applyBorder="1" applyAlignment="1">
      <alignment horizontal="center" vertical="center"/>
    </xf>
    <xf numFmtId="38" fontId="0" fillId="0" borderId="11" xfId="1" applyFont="1" applyFill="1" applyBorder="1" applyAlignment="1">
      <alignment vertical="center"/>
    </xf>
    <xf numFmtId="38" fontId="0" fillId="0" borderId="19" xfId="1" applyFont="1" applyFill="1" applyBorder="1" applyAlignment="1">
      <alignment vertical="center"/>
    </xf>
    <xf numFmtId="38" fontId="0" fillId="0" borderId="12" xfId="1" applyFont="1" applyFill="1" applyBorder="1" applyAlignment="1">
      <alignment vertical="center"/>
    </xf>
    <xf numFmtId="0" fontId="8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38" fontId="0" fillId="0" borderId="1" xfId="1" applyFont="1" applyBorder="1" applyAlignment="1">
      <alignment horizontal="right" vertical="center"/>
    </xf>
    <xf numFmtId="38" fontId="0" fillId="2" borderId="8" xfId="1" applyFont="1" applyFill="1" applyBorder="1" applyAlignment="1">
      <alignment vertical="center"/>
    </xf>
    <xf numFmtId="38" fontId="0" fillId="2" borderId="9" xfId="1" applyFont="1" applyFill="1" applyBorder="1" applyAlignment="1">
      <alignment vertical="center"/>
    </xf>
    <xf numFmtId="12" fontId="0" fillId="2" borderId="8" xfId="1" applyNumberFormat="1" applyFont="1" applyFill="1" applyBorder="1" applyAlignment="1">
      <alignment horizontal="center" vertical="center"/>
    </xf>
    <xf numFmtId="12" fontId="0" fillId="2" borderId="9" xfId="1" applyNumberFormat="1" applyFont="1" applyFill="1" applyBorder="1" applyAlignment="1">
      <alignment horizontal="center" vertical="center"/>
    </xf>
    <xf numFmtId="38" fontId="0" fillId="0" borderId="8" xfId="1" applyFont="1" applyFill="1" applyBorder="1" applyAlignment="1">
      <alignment vertical="center"/>
    </xf>
    <xf numFmtId="38" fontId="0" fillId="0" borderId="9" xfId="1" applyFont="1" applyFill="1" applyBorder="1" applyAlignment="1">
      <alignment vertical="center"/>
    </xf>
    <xf numFmtId="38" fontId="0" fillId="2" borderId="7" xfId="1" applyFont="1" applyFill="1" applyBorder="1" applyAlignment="1">
      <alignment vertical="center"/>
    </xf>
    <xf numFmtId="38" fontId="0" fillId="0" borderId="7" xfId="1" applyFont="1" applyFill="1" applyBorder="1" applyAlignment="1">
      <alignment vertical="center"/>
    </xf>
    <xf numFmtId="38" fontId="0" fillId="2" borderId="21" xfId="1" applyFont="1" applyFill="1" applyBorder="1" applyAlignment="1">
      <alignment vertical="center"/>
    </xf>
    <xf numFmtId="38" fontId="0" fillId="0" borderId="9" xfId="1" applyFont="1" applyBorder="1" applyAlignment="1">
      <alignment horizontal="center" vertical="center" textRotation="255"/>
    </xf>
    <xf numFmtId="38" fontId="0" fillId="0" borderId="1" xfId="1" applyFont="1" applyBorder="1" applyAlignment="1">
      <alignment horizontal="center" vertical="center" textRotation="255"/>
    </xf>
    <xf numFmtId="38" fontId="0" fillId="0" borderId="19" xfId="1" applyFont="1" applyFill="1" applyBorder="1" applyAlignment="1">
      <alignment horizontal="center" vertical="center"/>
    </xf>
    <xf numFmtId="38" fontId="0" fillId="0" borderId="11" xfId="1" applyFont="1" applyFill="1" applyBorder="1" applyAlignment="1">
      <alignment horizontal="center" vertical="center"/>
    </xf>
    <xf numFmtId="38" fontId="0" fillId="0" borderId="12" xfId="1" applyFont="1" applyFill="1" applyBorder="1" applyAlignment="1">
      <alignment horizontal="center" vertical="center"/>
    </xf>
    <xf numFmtId="38" fontId="9" fillId="4" borderId="8" xfId="1" applyFont="1" applyFill="1" applyBorder="1" applyAlignment="1">
      <alignment horizontal="center" vertical="center"/>
    </xf>
    <xf numFmtId="38" fontId="9" fillId="4" borderId="9" xfId="1" applyFont="1" applyFill="1" applyBorder="1" applyAlignment="1">
      <alignment horizontal="center" vertical="center"/>
    </xf>
    <xf numFmtId="38" fontId="9" fillId="4" borderId="8" xfId="1" applyFont="1" applyFill="1" applyBorder="1" applyAlignment="1">
      <alignment vertical="center"/>
    </xf>
    <xf numFmtId="38" fontId="9" fillId="4" borderId="9" xfId="1" applyFont="1" applyFill="1" applyBorder="1" applyAlignment="1">
      <alignment vertical="center"/>
    </xf>
    <xf numFmtId="38" fontId="9" fillId="4" borderId="7" xfId="1" applyFont="1" applyFill="1" applyBorder="1" applyAlignment="1">
      <alignment vertical="center"/>
    </xf>
    <xf numFmtId="12" fontId="0" fillId="2" borderId="7" xfId="1" applyNumberFormat="1" applyFont="1" applyFill="1" applyBorder="1" applyAlignment="1">
      <alignment horizontal="center" vertical="center"/>
    </xf>
    <xf numFmtId="38" fontId="9" fillId="4" borderId="7" xfId="1" applyFont="1" applyFill="1" applyBorder="1" applyAlignment="1">
      <alignment horizontal="center" vertical="center"/>
    </xf>
    <xf numFmtId="38" fontId="0" fillId="2" borderId="7" xfId="1" applyFont="1" applyFill="1" applyBorder="1" applyAlignment="1">
      <alignment horizontal="right" vertical="center"/>
    </xf>
    <xf numFmtId="38" fontId="0" fillId="2" borderId="8" xfId="1" applyFont="1" applyFill="1" applyBorder="1" applyAlignment="1">
      <alignment horizontal="right" vertical="center"/>
    </xf>
    <xf numFmtId="38" fontId="0" fillId="2" borderId="9" xfId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 textRotation="255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12" fontId="0" fillId="2" borderId="7" xfId="0" applyNumberFormat="1" applyFill="1" applyBorder="1" applyAlignment="1">
      <alignment horizontal="center" vertical="center"/>
    </xf>
    <xf numFmtId="12" fontId="0" fillId="2" borderId="8" xfId="0" applyNumberFormat="1" applyFill="1" applyBorder="1" applyAlignment="1">
      <alignment horizontal="center" vertical="center"/>
    </xf>
    <xf numFmtId="12" fontId="0" fillId="2" borderId="9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38" fontId="0" fillId="0" borderId="7" xfId="1" applyFont="1" applyFill="1" applyBorder="1" applyAlignment="1">
      <alignment horizontal="center" vertical="center"/>
    </xf>
    <xf numFmtId="38" fontId="0" fillId="0" borderId="8" xfId="1" applyFont="1" applyFill="1" applyBorder="1" applyAlignment="1">
      <alignment horizontal="center" vertical="center"/>
    </xf>
    <xf numFmtId="38" fontId="0" fillId="0" borderId="9" xfId="1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38" fontId="0" fillId="0" borderId="10" xfId="1" applyFont="1" applyFill="1" applyBorder="1" applyAlignment="1">
      <alignment horizontal="center" vertical="center"/>
    </xf>
    <xf numFmtId="38" fontId="8" fillId="4" borderId="7" xfId="1" applyFont="1" applyFill="1" applyBorder="1" applyAlignment="1">
      <alignment horizontal="right" vertical="center"/>
    </xf>
    <xf numFmtId="38" fontId="8" fillId="4" borderId="8" xfId="1" applyFont="1" applyFill="1" applyBorder="1" applyAlignment="1">
      <alignment horizontal="right" vertical="center"/>
    </xf>
    <xf numFmtId="38" fontId="8" fillId="4" borderId="9" xfId="1" applyFont="1" applyFill="1" applyBorder="1" applyAlignment="1">
      <alignment horizontal="right" vertical="center"/>
    </xf>
    <xf numFmtId="38" fontId="8" fillId="4" borderId="7" xfId="1" applyFont="1" applyFill="1" applyBorder="1" applyAlignment="1">
      <alignment horizontal="center" vertical="center"/>
    </xf>
    <xf numFmtId="38" fontId="8" fillId="4" borderId="8" xfId="1" applyFont="1" applyFill="1" applyBorder="1" applyAlignment="1">
      <alignment horizontal="center" vertical="center"/>
    </xf>
    <xf numFmtId="38" fontId="8" fillId="4" borderId="9" xfId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top" wrapText="1"/>
    </xf>
    <xf numFmtId="0" fontId="9" fillId="4" borderId="4" xfId="0" applyFont="1" applyFill="1" applyBorder="1" applyAlignment="1">
      <alignment vertical="top" wrapText="1"/>
    </xf>
    <xf numFmtId="0" fontId="9" fillId="4" borderId="3" xfId="0" applyFont="1" applyFill="1" applyBorder="1" applyAlignment="1">
      <alignment vertical="top" wrapText="1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3" xfId="0" applyBorder="1" applyAlignment="1">
      <alignment horizontal="right"/>
    </xf>
    <xf numFmtId="38" fontId="0" fillId="2" borderId="7" xfId="1" applyFont="1" applyFill="1" applyBorder="1" applyAlignment="1">
      <alignment horizontal="center" vertical="center"/>
    </xf>
    <xf numFmtId="38" fontId="0" fillId="2" borderId="8" xfId="1" applyFont="1" applyFill="1" applyBorder="1" applyAlignment="1">
      <alignment horizontal="center" vertical="center"/>
    </xf>
    <xf numFmtId="38" fontId="0" fillId="2" borderId="9" xfId="1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38" fontId="0" fillId="2" borderId="21" xfId="1" applyFont="1" applyFill="1" applyBorder="1" applyAlignment="1">
      <alignment horizontal="center" vertical="center"/>
    </xf>
    <xf numFmtId="38" fontId="0" fillId="2" borderId="22" xfId="1" applyFont="1" applyFill="1" applyBorder="1" applyAlignment="1">
      <alignment horizontal="center" vertical="center"/>
    </xf>
    <xf numFmtId="38" fontId="0" fillId="2" borderId="20" xfId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/>
    </xf>
    <xf numFmtId="38" fontId="0" fillId="3" borderId="15" xfId="1" applyFont="1" applyFill="1" applyBorder="1" applyAlignment="1" applyProtection="1">
      <alignment vertical="center" wrapText="1"/>
      <protection locked="0"/>
    </xf>
    <xf numFmtId="38" fontId="0" fillId="3" borderId="13" xfId="1" applyFont="1" applyFill="1" applyBorder="1" applyAlignment="1" applyProtection="1">
      <alignment vertical="center" wrapText="1"/>
      <protection locked="0"/>
    </xf>
    <xf numFmtId="38" fontId="0" fillId="4" borderId="15" xfId="1" applyFont="1" applyFill="1" applyBorder="1" applyAlignment="1" applyProtection="1">
      <alignment vertical="center"/>
      <protection locked="0"/>
    </xf>
    <xf numFmtId="38" fontId="0" fillId="4" borderId="9" xfId="1" applyFont="1" applyFill="1" applyBorder="1" applyAlignment="1" applyProtection="1">
      <alignment vertical="center"/>
      <protection locked="0"/>
    </xf>
    <xf numFmtId="38" fontId="0" fillId="4" borderId="13" xfId="1" applyFont="1" applyFill="1" applyBorder="1" applyAlignment="1" applyProtection="1">
      <alignment vertical="center"/>
      <protection locked="0"/>
    </xf>
    <xf numFmtId="38" fontId="0" fillId="3" borderId="13" xfId="1" applyFont="1" applyFill="1" applyBorder="1" applyAlignment="1" applyProtection="1">
      <alignment horizontal="center" vertical="center"/>
      <protection locked="0"/>
    </xf>
    <xf numFmtId="38" fontId="0" fillId="3" borderId="15" xfId="1" applyFont="1" applyFill="1" applyBorder="1" applyAlignment="1" applyProtection="1">
      <alignment vertical="center"/>
      <protection locked="0"/>
    </xf>
    <xf numFmtId="38" fontId="0" fillId="3" borderId="13" xfId="1" applyFont="1" applyFill="1" applyBorder="1" applyAlignment="1" applyProtection="1">
      <alignment vertical="center"/>
      <protection locked="0"/>
    </xf>
    <xf numFmtId="38" fontId="0" fillId="4" borderId="8" xfId="1" applyFont="1" applyFill="1" applyBorder="1" applyAlignment="1" applyProtection="1">
      <alignment horizontal="center" vertical="center"/>
      <protection locked="0"/>
    </xf>
    <xf numFmtId="38" fontId="0" fillId="4" borderId="8" xfId="1" applyFont="1" applyFill="1" applyBorder="1" applyAlignment="1" applyProtection="1">
      <alignment vertical="center"/>
      <protection locked="0"/>
    </xf>
    <xf numFmtId="38" fontId="0" fillId="4" borderId="9" xfId="1" applyFont="1" applyFill="1" applyBorder="1" applyAlignment="1" applyProtection="1">
      <alignment vertical="center"/>
      <protection locked="0"/>
    </xf>
    <xf numFmtId="38" fontId="0" fillId="4" borderId="7" xfId="1" applyFont="1" applyFill="1" applyBorder="1" applyAlignment="1" applyProtection="1">
      <alignment vertical="center"/>
      <protection locked="0"/>
    </xf>
    <xf numFmtId="38" fontId="0" fillId="4" borderId="9" xfId="1" applyFont="1" applyFill="1" applyBorder="1" applyAlignment="1" applyProtection="1">
      <alignment horizontal="center" vertical="center"/>
      <protection locked="0"/>
    </xf>
    <xf numFmtId="38" fontId="0" fillId="4" borderId="7" xfId="1" applyFont="1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 vertical="center"/>
      <protection locked="0"/>
    </xf>
    <xf numFmtId="0" fontId="0" fillId="5" borderId="4" xfId="0" applyFill="1" applyBorder="1" applyAlignment="1" applyProtection="1">
      <alignment horizontal="center" vertical="center"/>
      <protection locked="0"/>
    </xf>
    <xf numFmtId="38" fontId="6" fillId="3" borderId="13" xfId="1" applyFont="1" applyFill="1" applyBorder="1" applyAlignment="1" applyProtection="1">
      <alignment horizontal="center" vertical="center"/>
      <protection locked="0"/>
    </xf>
    <xf numFmtId="38" fontId="16" fillId="4" borderId="7" xfId="1" applyFont="1" applyFill="1" applyBorder="1" applyAlignment="1" applyProtection="1">
      <alignment horizontal="center" vertical="center"/>
      <protection locked="0"/>
    </xf>
    <xf numFmtId="38" fontId="16" fillId="4" borderId="8" xfId="1" applyFont="1" applyFill="1" applyBorder="1" applyAlignment="1" applyProtection="1">
      <alignment horizontal="center" vertical="center"/>
      <protection locked="0"/>
    </xf>
    <xf numFmtId="38" fontId="16" fillId="4" borderId="9" xfId="1" applyFont="1" applyFill="1" applyBorder="1" applyAlignment="1" applyProtection="1">
      <alignment horizontal="center" vertical="center"/>
      <protection locked="0"/>
    </xf>
    <xf numFmtId="38" fontId="0" fillId="4" borderId="1" xfId="1" applyFont="1" applyFill="1" applyBorder="1" applyAlignment="1" applyProtection="1">
      <alignment horizontal="center" vertical="center"/>
      <protection locked="0"/>
    </xf>
    <xf numFmtId="38" fontId="16" fillId="4" borderId="7" xfId="1" applyFont="1" applyFill="1" applyBorder="1" applyAlignment="1" applyProtection="1">
      <alignment horizontal="right" vertical="center"/>
      <protection locked="0"/>
    </xf>
    <xf numFmtId="38" fontId="16" fillId="4" borderId="8" xfId="1" applyFont="1" applyFill="1" applyBorder="1" applyAlignment="1" applyProtection="1">
      <alignment horizontal="right" vertical="center"/>
      <protection locked="0"/>
    </xf>
    <xf numFmtId="38" fontId="16" fillId="4" borderId="9" xfId="1" applyFont="1" applyFill="1" applyBorder="1" applyAlignment="1" applyProtection="1">
      <alignment horizontal="right" vertical="center"/>
      <protection locked="0"/>
    </xf>
    <xf numFmtId="38" fontId="0" fillId="4" borderId="14" xfId="1" applyFont="1" applyFill="1" applyBorder="1" applyAlignment="1" applyProtection="1">
      <alignment vertical="center"/>
      <protection locked="0"/>
    </xf>
    <xf numFmtId="38" fontId="0" fillId="4" borderId="18" xfId="1" applyFont="1" applyFill="1" applyBorder="1" applyAlignment="1" applyProtection="1">
      <alignment vertical="center"/>
      <protection locked="0"/>
    </xf>
    <xf numFmtId="0" fontId="0" fillId="3" borderId="13" xfId="0" applyFill="1" applyBorder="1" applyAlignment="1" applyProtection="1">
      <alignment vertical="center"/>
      <protection locked="0"/>
    </xf>
    <xf numFmtId="0" fontId="0" fillId="3" borderId="14" xfId="0" applyFill="1" applyBorder="1" applyAlignment="1" applyProtection="1">
      <alignment vertical="center"/>
      <protection locked="0"/>
    </xf>
    <xf numFmtId="0" fontId="0" fillId="3" borderId="18" xfId="0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vertical="center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0" fontId="0" fillId="4" borderId="9" xfId="0" applyFill="1" applyBorder="1" applyAlignment="1" applyProtection="1">
      <alignment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alignment vertical="center"/>
      <protection locked="0"/>
    </xf>
    <xf numFmtId="0" fontId="0" fillId="3" borderId="18" xfId="0" applyFill="1" applyBorder="1" applyAlignment="1" applyProtection="1">
      <alignment horizontal="center" vertical="center"/>
      <protection locked="0"/>
    </xf>
    <xf numFmtId="0" fontId="0" fillId="5" borderId="13" xfId="0" applyFill="1" applyBorder="1" applyAlignment="1" applyProtection="1">
      <alignment horizontal="left" vertical="center" wrapText="1"/>
      <protection locked="0"/>
    </xf>
    <xf numFmtId="0" fontId="0" fillId="5" borderId="14" xfId="0" applyFill="1" applyBorder="1" applyAlignment="1" applyProtection="1">
      <alignment horizontal="left" vertical="center" wrapText="1"/>
      <protection locked="0"/>
    </xf>
    <xf numFmtId="0" fontId="0" fillId="5" borderId="18" xfId="0" applyFill="1" applyBorder="1" applyAlignment="1" applyProtection="1">
      <alignment horizontal="left" vertical="center" wrapText="1"/>
      <protection locked="0"/>
    </xf>
    <xf numFmtId="0" fontId="0" fillId="4" borderId="15" xfId="0" applyFill="1" applyBorder="1" applyAlignment="1" applyProtection="1">
      <alignment vertical="center"/>
      <protection locked="0"/>
    </xf>
    <xf numFmtId="0" fontId="0" fillId="4" borderId="2" xfId="0" applyFill="1" applyBorder="1" applyAlignment="1" applyProtection="1">
      <alignment vertical="top" wrapText="1"/>
      <protection locked="0"/>
    </xf>
    <xf numFmtId="0" fontId="0" fillId="4" borderId="4" xfId="0" applyFill="1" applyBorder="1" applyAlignment="1" applyProtection="1">
      <alignment vertical="top" wrapText="1"/>
      <protection locked="0"/>
    </xf>
    <xf numFmtId="0" fontId="0" fillId="4" borderId="3" xfId="0" applyFill="1" applyBorder="1" applyAlignment="1" applyProtection="1">
      <alignment vertical="top" wrapText="1"/>
      <protection locked="0"/>
    </xf>
    <xf numFmtId="0" fontId="0" fillId="5" borderId="14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Protection="1">
      <protection locked="0"/>
    </xf>
    <xf numFmtId="0" fontId="0" fillId="5" borderId="9" xfId="0" applyFill="1" applyBorder="1" applyAlignment="1" applyProtection="1">
      <alignment horizontal="center" vertical="center"/>
      <protection locked="0"/>
    </xf>
    <xf numFmtId="0" fontId="0" fillId="4" borderId="9" xfId="0" applyFill="1" applyBorder="1" applyProtection="1"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9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8C8F2-6BAB-4FF6-9FC3-199B3D1325F7}">
  <sheetPr codeName="Sheet3"/>
  <dimension ref="A1:X29"/>
  <sheetViews>
    <sheetView tabSelected="1" view="pageBreakPreview" zoomScale="75" zoomScaleNormal="70" zoomScaleSheetLayoutView="75" workbookViewId="0"/>
  </sheetViews>
  <sheetFormatPr defaultColWidth="8.83203125" defaultRowHeight="18"/>
  <cols>
    <col min="1" max="1" width="5.4140625" style="6" customWidth="1"/>
    <col min="2" max="2" width="25.83203125" style="6" customWidth="1"/>
    <col min="3" max="3" width="26.08203125" style="6" bestFit="1" customWidth="1"/>
    <col min="4" max="4" width="10.4140625" style="6" customWidth="1"/>
    <col min="5" max="5" width="46.08203125" style="6" customWidth="1"/>
    <col min="6" max="6" width="6.83203125" style="6" bestFit="1" customWidth="1"/>
    <col min="7" max="9" width="13.58203125" style="6" customWidth="1"/>
    <col min="10" max="11" width="8.58203125" style="6" bestFit="1" customWidth="1"/>
    <col min="12" max="12" width="13" style="6" customWidth="1"/>
    <col min="13" max="13" width="21.4140625" style="6" customWidth="1"/>
    <col min="14" max="14" width="6.83203125" style="6" bestFit="1" customWidth="1"/>
    <col min="15" max="17" width="13.58203125" style="6" customWidth="1"/>
    <col min="18" max="18" width="14.33203125" style="6" customWidth="1"/>
    <col min="19" max="20" width="13.58203125" style="6" customWidth="1"/>
    <col min="21" max="21" width="14.33203125" style="6" customWidth="1"/>
    <col min="22" max="22" width="59.6640625" style="6" customWidth="1"/>
    <col min="23" max="23" width="5.6640625" style="6" customWidth="1"/>
    <col min="24" max="16384" width="8.83203125" style="6"/>
  </cols>
  <sheetData>
    <row r="1" spans="1:24">
      <c r="A1" s="6" t="s">
        <v>1</v>
      </c>
      <c r="N1" s="9"/>
      <c r="P1"/>
      <c r="R1" s="9" t="s">
        <v>28</v>
      </c>
      <c r="S1" s="194"/>
      <c r="T1" s="194"/>
      <c r="U1" s="194"/>
    </row>
    <row r="2" spans="1:24">
      <c r="A2" s="6" t="s">
        <v>206</v>
      </c>
      <c r="N2" s="9"/>
      <c r="P2"/>
      <c r="R2" s="9" t="s">
        <v>29</v>
      </c>
      <c r="S2" s="195"/>
      <c r="T2" s="195"/>
      <c r="U2" s="195"/>
    </row>
    <row r="3" spans="1:24">
      <c r="N3" s="9"/>
      <c r="P3"/>
      <c r="R3" s="9" t="s">
        <v>30</v>
      </c>
      <c r="S3" s="195"/>
      <c r="T3" s="195"/>
      <c r="U3" s="195"/>
    </row>
    <row r="4" spans="1:24">
      <c r="A4" s="7" t="s">
        <v>3</v>
      </c>
      <c r="B4" s="7" t="s">
        <v>4</v>
      </c>
      <c r="C4" s="7"/>
      <c r="N4" s="9"/>
      <c r="P4"/>
      <c r="R4" s="9" t="s">
        <v>31</v>
      </c>
      <c r="S4" s="196"/>
      <c r="T4" s="196"/>
      <c r="U4" s="196"/>
    </row>
    <row r="5" spans="1:24">
      <c r="N5" s="9"/>
      <c r="P5"/>
      <c r="R5" s="9" t="s">
        <v>32</v>
      </c>
      <c r="S5" s="195"/>
      <c r="T5" s="195"/>
      <c r="U5" s="195"/>
    </row>
    <row r="6" spans="1:24" ht="40" customHeight="1">
      <c r="B6" s="77"/>
      <c r="D6" s="99"/>
      <c r="G6" s="40" t="s">
        <v>142</v>
      </c>
      <c r="H6" s="40" t="s">
        <v>143</v>
      </c>
      <c r="I6" s="40" t="s">
        <v>144</v>
      </c>
      <c r="J6" s="40"/>
      <c r="K6" s="40" t="s">
        <v>145</v>
      </c>
      <c r="L6" s="40" t="s">
        <v>146</v>
      </c>
      <c r="M6" s="40" t="s">
        <v>147</v>
      </c>
      <c r="N6" s="40"/>
      <c r="O6" s="40" t="s">
        <v>148</v>
      </c>
      <c r="P6" s="40" t="s">
        <v>162</v>
      </c>
      <c r="Q6" s="40" t="s">
        <v>150</v>
      </c>
      <c r="R6" s="46" t="s">
        <v>194</v>
      </c>
      <c r="S6" s="55" t="s">
        <v>195</v>
      </c>
      <c r="T6" s="55" t="s">
        <v>201</v>
      </c>
      <c r="U6" s="46" t="s">
        <v>202</v>
      </c>
    </row>
    <row r="7" spans="1:24" s="1" customFormat="1" ht="54" customHeight="1">
      <c r="A7" s="85"/>
      <c r="B7" s="85" t="s">
        <v>2</v>
      </c>
      <c r="C7" s="85" t="s">
        <v>0</v>
      </c>
      <c r="D7" s="85" t="s">
        <v>130</v>
      </c>
      <c r="E7" s="85" t="s">
        <v>26</v>
      </c>
      <c r="F7" s="85" t="s">
        <v>13</v>
      </c>
      <c r="G7" s="85" t="s">
        <v>141</v>
      </c>
      <c r="H7" s="85" t="s">
        <v>128</v>
      </c>
      <c r="I7" s="85" t="s">
        <v>129</v>
      </c>
      <c r="J7" s="85" t="s">
        <v>11</v>
      </c>
      <c r="K7" s="85" t="s">
        <v>9</v>
      </c>
      <c r="L7" s="85" t="s">
        <v>135</v>
      </c>
      <c r="M7" s="85" t="s">
        <v>8</v>
      </c>
      <c r="N7" s="85" t="s">
        <v>10</v>
      </c>
      <c r="O7" s="85" t="s">
        <v>158</v>
      </c>
      <c r="P7" s="85" t="s">
        <v>159</v>
      </c>
      <c r="Q7" s="85" t="s">
        <v>127</v>
      </c>
      <c r="R7" s="85" t="s">
        <v>193</v>
      </c>
      <c r="S7" s="85" t="s">
        <v>199</v>
      </c>
      <c r="T7" s="85" t="s">
        <v>200</v>
      </c>
      <c r="U7" s="85" t="s">
        <v>203</v>
      </c>
    </row>
    <row r="8" spans="1:24" s="98" customFormat="1" ht="18" customHeight="1">
      <c r="A8" s="89"/>
      <c r="B8" s="89"/>
      <c r="C8" s="89"/>
      <c r="D8" s="89"/>
      <c r="E8" s="89"/>
      <c r="F8" s="90" t="s">
        <v>190</v>
      </c>
      <c r="G8" s="90" t="s">
        <v>191</v>
      </c>
      <c r="H8" s="90" t="s">
        <v>191</v>
      </c>
      <c r="I8" s="90" t="s">
        <v>191</v>
      </c>
      <c r="J8" s="90" t="s">
        <v>192</v>
      </c>
      <c r="K8" s="90" t="s">
        <v>192</v>
      </c>
      <c r="L8" s="90" t="s">
        <v>191</v>
      </c>
      <c r="M8" s="90" t="s">
        <v>191</v>
      </c>
      <c r="N8" s="90"/>
      <c r="O8" s="90" t="s">
        <v>191</v>
      </c>
      <c r="P8" s="90" t="s">
        <v>191</v>
      </c>
      <c r="Q8" s="90" t="s">
        <v>191</v>
      </c>
      <c r="R8" s="97" t="s">
        <v>191</v>
      </c>
      <c r="S8" s="90" t="s">
        <v>191</v>
      </c>
      <c r="T8" s="90" t="s">
        <v>191</v>
      </c>
      <c r="U8" s="97" t="s">
        <v>191</v>
      </c>
    </row>
    <row r="9" spans="1:24" ht="38.25" customHeight="1">
      <c r="A9" s="123" t="s">
        <v>12</v>
      </c>
      <c r="B9" s="180"/>
      <c r="C9" s="182"/>
      <c r="D9" s="185"/>
      <c r="E9" s="186"/>
      <c r="F9" s="188"/>
      <c r="G9" s="189"/>
      <c r="H9" s="189"/>
      <c r="I9" s="118" t="str">
        <f>IF(G9="","",G9-H9)</f>
        <v/>
      </c>
      <c r="J9" s="114" t="str">
        <f>IF(F9="","",ROUNDUP(F9*0.2,0))</f>
        <v/>
      </c>
      <c r="K9" s="182"/>
      <c r="L9" s="182"/>
      <c r="M9" s="28" t="str">
        <f>IF(K9="","",IF($J$9&lt;K9,"台数上限を超えています",K9*L9))</f>
        <v/>
      </c>
      <c r="N9" s="116">
        <v>0.75</v>
      </c>
      <c r="O9" s="28" t="str">
        <f>IF(M9="","",IF($J$9&lt;$K9,"",M9*$N$9))</f>
        <v/>
      </c>
      <c r="P9" s="118" t="str">
        <f>IF(K9="","",IF($J$9&lt;K9,"",ROUNDDOWN(SUM(O9:O13),-3)))</f>
        <v/>
      </c>
      <c r="Q9" s="114" t="str">
        <f>IF(P9="","",IF($J$9&lt;K9,"",IF(B9="",0,IF(OR(B9=データリスト!$C$2,B9=データリスト!$D$2,B9=データリスト!$K$2),所要額調書①!K9*1000000,所要額調書①!K9*300000))))</f>
        <v/>
      </c>
      <c r="R9" s="122" t="str">
        <f>IF(Q9="","",IF($J$9&lt;K9,"",ROUNDDOWN(MIN(I9,P9,Q9),-3)))</f>
        <v/>
      </c>
      <c r="S9" s="193"/>
      <c r="T9" s="193"/>
      <c r="U9" s="177" t="str">
        <f>IF(S9="","",IF(R24&gt;S9,S9-T9,R24-T9))</f>
        <v/>
      </c>
      <c r="V9" s="8" t="str">
        <f>CONCATENATE(B9,E9)</f>
        <v/>
      </c>
      <c r="W9" s="8" t="str">
        <f t="shared" ref="W9:W14" si="0">IF(V9="","",COUNTIF($V$9:$V$23,V9))</f>
        <v/>
      </c>
      <c r="X9" s="8"/>
    </row>
    <row r="10" spans="1:24" ht="38.25" customHeight="1">
      <c r="A10" s="124"/>
      <c r="B10" s="30" t="s">
        <v>131</v>
      </c>
      <c r="C10" s="182"/>
      <c r="D10" s="125"/>
      <c r="E10" s="125"/>
      <c r="F10" s="188"/>
      <c r="G10" s="189"/>
      <c r="H10" s="189"/>
      <c r="I10" s="118"/>
      <c r="J10" s="114"/>
      <c r="K10" s="182"/>
      <c r="L10" s="182"/>
      <c r="M10" s="28" t="str">
        <f>IF(K10="","",K10*L10)</f>
        <v/>
      </c>
      <c r="N10" s="116"/>
      <c r="O10" s="28" t="str">
        <f>IF(M10="","",IF($J$9&lt;$K$9,"",IF(L10*$N$9&gt;100000,100000*K10,M10*$N$9)))</f>
        <v/>
      </c>
      <c r="P10" s="118"/>
      <c r="Q10" s="114"/>
      <c r="R10" s="114"/>
      <c r="S10" s="188"/>
      <c r="T10" s="188"/>
      <c r="U10" s="176"/>
    </row>
    <row r="11" spans="1:24" ht="38.25" customHeight="1">
      <c r="A11" s="124"/>
      <c r="B11" s="30" t="s">
        <v>132</v>
      </c>
      <c r="C11" s="182"/>
      <c r="D11" s="126"/>
      <c r="E11" s="126"/>
      <c r="F11" s="188"/>
      <c r="G11" s="189"/>
      <c r="H11" s="189"/>
      <c r="I11" s="118"/>
      <c r="J11" s="114"/>
      <c r="K11" s="182"/>
      <c r="L11" s="182"/>
      <c r="M11" s="28" t="str">
        <f t="shared" ref="M11:M12" si="1">IF(K11="","",K11*L11)</f>
        <v/>
      </c>
      <c r="N11" s="116"/>
      <c r="O11" s="28" t="str">
        <f t="shared" ref="O11:O12" si="2">IF(M11="","",IF($J$9&lt;$K$9,"",IF(L11*$N$9&gt;100000,100000*K11,M11*$N$9)))</f>
        <v/>
      </c>
      <c r="P11" s="118"/>
      <c r="Q11" s="114"/>
      <c r="R11" s="114"/>
      <c r="S11" s="188"/>
      <c r="T11" s="188"/>
      <c r="U11" s="176"/>
    </row>
    <row r="12" spans="1:24" ht="38.25" customHeight="1">
      <c r="A12" s="124"/>
      <c r="B12" s="30" t="s">
        <v>133</v>
      </c>
      <c r="C12" s="182"/>
      <c r="D12" s="126"/>
      <c r="E12" s="126"/>
      <c r="F12" s="188"/>
      <c r="G12" s="189"/>
      <c r="H12" s="189"/>
      <c r="I12" s="118"/>
      <c r="J12" s="114"/>
      <c r="K12" s="182"/>
      <c r="L12" s="182"/>
      <c r="M12" s="28" t="str">
        <f t="shared" si="1"/>
        <v/>
      </c>
      <c r="N12" s="116"/>
      <c r="O12" s="28" t="str">
        <f t="shared" si="2"/>
        <v/>
      </c>
      <c r="P12" s="118"/>
      <c r="Q12" s="114"/>
      <c r="R12" s="114"/>
      <c r="S12" s="188"/>
      <c r="T12" s="188"/>
      <c r="U12" s="176"/>
    </row>
    <row r="13" spans="1:24" ht="38.25" customHeight="1">
      <c r="A13" s="124"/>
      <c r="B13" s="29" t="s">
        <v>134</v>
      </c>
      <c r="C13" s="183"/>
      <c r="D13" s="127"/>
      <c r="E13" s="127"/>
      <c r="F13" s="188"/>
      <c r="G13" s="190"/>
      <c r="H13" s="190"/>
      <c r="I13" s="119"/>
      <c r="J13" s="114"/>
      <c r="K13" s="31"/>
      <c r="L13" s="183"/>
      <c r="M13" s="23" t="str">
        <f>IF(L13="","",L13)</f>
        <v/>
      </c>
      <c r="N13" s="116"/>
      <c r="O13" s="38" t="str">
        <f>IF(M13="","",IF($J$9&lt;$K$9,"",M13*$N$9))</f>
        <v/>
      </c>
      <c r="P13" s="119"/>
      <c r="Q13" s="115"/>
      <c r="R13" s="115"/>
      <c r="S13" s="188"/>
      <c r="T13" s="188"/>
      <c r="U13" s="176"/>
    </row>
    <row r="14" spans="1:24" ht="38.25" customHeight="1">
      <c r="A14" s="124"/>
      <c r="B14" s="181"/>
      <c r="C14" s="184"/>
      <c r="D14" s="185"/>
      <c r="E14" s="187"/>
      <c r="F14" s="188"/>
      <c r="G14" s="191"/>
      <c r="H14" s="191"/>
      <c r="I14" s="121" t="str">
        <f t="shared" ref="I14" si="3">IF(G14="","",G14-H14)</f>
        <v/>
      </c>
      <c r="J14" s="114"/>
      <c r="K14" s="184"/>
      <c r="L14" s="184"/>
      <c r="M14" s="21" t="str">
        <f t="shared" ref="M14" si="4">IF(K14="","",IF($J$9&lt;K14,"台数上限を超えています",K14*L14))</f>
        <v/>
      </c>
      <c r="N14" s="116"/>
      <c r="O14" s="21" t="str">
        <f t="shared" ref="O14" si="5">IF(M14="","",IF($J$9&lt;$K14,"",M14*$N$9))</f>
        <v/>
      </c>
      <c r="P14" s="121" t="str">
        <f t="shared" ref="P14" si="6">IF(K14="","",IF($J$9&lt;K14,"",ROUNDDOWN(SUM(O14:O18),-3)))</f>
        <v/>
      </c>
      <c r="Q14" s="120" t="str">
        <f>IF(P14="","",IF($J$9&lt;K14,"",IF(B14="",0,IF(OR(B14=データリスト!$C$2,B14=データリスト!$D$2,B14=データリスト!$K$2),所要額調書①!K14*1000000,所要額調書①!K14*300000))))</f>
        <v/>
      </c>
      <c r="R14" s="120" t="str">
        <f t="shared" ref="R14" si="7">IF(Q14="","",IF($J$9&lt;K14,"",ROUNDDOWN(MIN(I14,P14,Q14),-3)))</f>
        <v/>
      </c>
      <c r="S14" s="188"/>
      <c r="T14" s="188"/>
      <c r="U14" s="176"/>
      <c r="V14" s="6" t="str">
        <f>CONCATENATE(B14,E14)</f>
        <v/>
      </c>
      <c r="W14" s="6" t="str">
        <f t="shared" si="0"/>
        <v/>
      </c>
    </row>
    <row r="15" spans="1:24" ht="38.25" customHeight="1">
      <c r="A15" s="124"/>
      <c r="B15" s="30" t="s">
        <v>131</v>
      </c>
      <c r="C15" s="182"/>
      <c r="D15" s="125"/>
      <c r="E15" s="125"/>
      <c r="F15" s="188"/>
      <c r="G15" s="189"/>
      <c r="H15" s="189"/>
      <c r="I15" s="118"/>
      <c r="J15" s="114"/>
      <c r="K15" s="182"/>
      <c r="L15" s="182"/>
      <c r="M15" s="28" t="str">
        <f t="shared" ref="M15:M22" si="8">IF(K15="","",K15*L15)</f>
        <v/>
      </c>
      <c r="N15" s="116"/>
      <c r="O15" s="28" t="str">
        <f t="shared" ref="O15:O22" si="9">IF(M15="","",IF($J$9&lt;$K$9,"",IF(L15*$N$9&gt;100000,100000*K15,M15*$N$9)))</f>
        <v/>
      </c>
      <c r="P15" s="118"/>
      <c r="Q15" s="114"/>
      <c r="R15" s="114"/>
      <c r="S15" s="188"/>
      <c r="T15" s="188"/>
      <c r="U15" s="176"/>
    </row>
    <row r="16" spans="1:24" ht="38.25" customHeight="1">
      <c r="A16" s="124"/>
      <c r="B16" s="30" t="s">
        <v>132</v>
      </c>
      <c r="C16" s="182"/>
      <c r="D16" s="126"/>
      <c r="E16" s="126"/>
      <c r="F16" s="188"/>
      <c r="G16" s="189"/>
      <c r="H16" s="189"/>
      <c r="I16" s="118"/>
      <c r="J16" s="114"/>
      <c r="K16" s="182"/>
      <c r="L16" s="182"/>
      <c r="M16" s="28" t="str">
        <f t="shared" si="8"/>
        <v/>
      </c>
      <c r="N16" s="116"/>
      <c r="O16" s="28" t="str">
        <f t="shared" si="9"/>
        <v/>
      </c>
      <c r="P16" s="118"/>
      <c r="Q16" s="114"/>
      <c r="R16" s="114"/>
      <c r="S16" s="188"/>
      <c r="T16" s="188"/>
      <c r="U16" s="176"/>
    </row>
    <row r="17" spans="1:23" ht="38.25" customHeight="1">
      <c r="A17" s="124"/>
      <c r="B17" s="30" t="s">
        <v>133</v>
      </c>
      <c r="C17" s="182"/>
      <c r="D17" s="126"/>
      <c r="E17" s="126"/>
      <c r="F17" s="188"/>
      <c r="G17" s="189"/>
      <c r="H17" s="189"/>
      <c r="I17" s="118"/>
      <c r="J17" s="114"/>
      <c r="K17" s="182"/>
      <c r="L17" s="182"/>
      <c r="M17" s="28" t="str">
        <f t="shared" si="8"/>
        <v/>
      </c>
      <c r="N17" s="116"/>
      <c r="O17" s="28" t="str">
        <f t="shared" si="9"/>
        <v/>
      </c>
      <c r="P17" s="118"/>
      <c r="Q17" s="114"/>
      <c r="R17" s="114"/>
      <c r="S17" s="188"/>
      <c r="T17" s="188"/>
      <c r="U17" s="176"/>
    </row>
    <row r="18" spans="1:23" ht="38.25" customHeight="1">
      <c r="A18" s="124"/>
      <c r="B18" s="29" t="s">
        <v>134</v>
      </c>
      <c r="C18" s="183"/>
      <c r="D18" s="127"/>
      <c r="E18" s="127"/>
      <c r="F18" s="188"/>
      <c r="G18" s="190"/>
      <c r="H18" s="190"/>
      <c r="I18" s="119"/>
      <c r="J18" s="114"/>
      <c r="K18" s="31"/>
      <c r="L18" s="183"/>
      <c r="M18" s="38" t="str">
        <f t="shared" ref="M18" si="10">IF(L18="","",L18)</f>
        <v/>
      </c>
      <c r="N18" s="116"/>
      <c r="O18" s="38" t="str">
        <f t="shared" ref="O18" si="11">IF(M18="","",IF($J$9&lt;$K$9,"",M18*$N$9))</f>
        <v/>
      </c>
      <c r="P18" s="119"/>
      <c r="Q18" s="115"/>
      <c r="R18" s="115"/>
      <c r="S18" s="188"/>
      <c r="T18" s="188"/>
      <c r="U18" s="176"/>
    </row>
    <row r="19" spans="1:23" ht="38.25" customHeight="1">
      <c r="A19" s="124"/>
      <c r="B19" s="181"/>
      <c r="C19" s="184"/>
      <c r="D19" s="185"/>
      <c r="E19" s="187"/>
      <c r="F19" s="188"/>
      <c r="G19" s="191"/>
      <c r="H19" s="191"/>
      <c r="I19" s="121" t="str">
        <f t="shared" ref="I19" si="12">IF(G19="","",G19-H19)</f>
        <v/>
      </c>
      <c r="J19" s="114"/>
      <c r="K19" s="184"/>
      <c r="L19" s="184"/>
      <c r="M19" s="21" t="str">
        <f t="shared" ref="M19" si="13">IF(K19="","",IF($J$9&lt;K19,"台数上限を超えています",K19*L19))</f>
        <v/>
      </c>
      <c r="N19" s="116"/>
      <c r="O19" s="21" t="str">
        <f t="shared" ref="O19" si="14">IF(M19="","",IF($J$9&lt;$K19,"",M19*$N$9))</f>
        <v/>
      </c>
      <c r="P19" s="121" t="str">
        <f>IF(K19="","",IF($J$9&lt;K19,"",ROUNDDOWN(SUM(O19:O23),-3)))</f>
        <v/>
      </c>
      <c r="Q19" s="120" t="str">
        <f>IF(P19="","",IF($J$9&lt;K19,"",IF(B19="",0,IF(OR(B19=データリスト!$C$2,B19=データリスト!$D$2,B19=データリスト!$K$2),所要額調書①!K19*1000000,所要額調書①!K19*300000))))</f>
        <v/>
      </c>
      <c r="R19" s="120" t="str">
        <f t="shared" ref="R19" si="15">IF(Q19="","",IF($J$9&lt;K19,"",ROUNDDOWN(MIN(I19,P19,Q19),-3)))</f>
        <v/>
      </c>
      <c r="S19" s="188"/>
      <c r="T19" s="188"/>
      <c r="U19" s="176"/>
      <c r="V19" s="6" t="str">
        <f>CONCATENATE(B19,E19)</f>
        <v/>
      </c>
      <c r="W19" s="6" t="str">
        <f>IF(V19="","",COUNTIF($V$9:$V$23,V19))</f>
        <v/>
      </c>
    </row>
    <row r="20" spans="1:23" ht="38.25" customHeight="1">
      <c r="A20" s="124"/>
      <c r="B20" s="30" t="s">
        <v>131</v>
      </c>
      <c r="C20" s="182"/>
      <c r="D20" s="125"/>
      <c r="E20" s="125"/>
      <c r="F20" s="188"/>
      <c r="G20" s="189"/>
      <c r="H20" s="189"/>
      <c r="I20" s="118"/>
      <c r="J20" s="114"/>
      <c r="K20" s="182"/>
      <c r="L20" s="182"/>
      <c r="M20" s="28" t="str">
        <f t="shared" ref="M20" si="16">IF(K20="","",K20*L20)</f>
        <v/>
      </c>
      <c r="N20" s="116"/>
      <c r="O20" s="28" t="str">
        <f t="shared" ref="O20" si="17">IF(M20="","",IF($J$9&lt;$K$9,"",IF(L20*$N$9&gt;100000,100000*K20,M20*$N$9)))</f>
        <v/>
      </c>
      <c r="P20" s="118"/>
      <c r="Q20" s="114"/>
      <c r="R20" s="114"/>
      <c r="S20" s="188"/>
      <c r="T20" s="188"/>
      <c r="U20" s="176"/>
    </row>
    <row r="21" spans="1:23" ht="38.25" customHeight="1">
      <c r="A21" s="124"/>
      <c r="B21" s="30" t="s">
        <v>132</v>
      </c>
      <c r="C21" s="182"/>
      <c r="D21" s="126"/>
      <c r="E21" s="126"/>
      <c r="F21" s="188"/>
      <c r="G21" s="189"/>
      <c r="H21" s="189"/>
      <c r="I21" s="118"/>
      <c r="J21" s="114"/>
      <c r="K21" s="182"/>
      <c r="L21" s="182"/>
      <c r="M21" s="28" t="str">
        <f t="shared" si="8"/>
        <v/>
      </c>
      <c r="N21" s="116"/>
      <c r="O21" s="28" t="str">
        <f t="shared" si="9"/>
        <v/>
      </c>
      <c r="P21" s="118"/>
      <c r="Q21" s="114"/>
      <c r="R21" s="114"/>
      <c r="S21" s="188"/>
      <c r="T21" s="188"/>
      <c r="U21" s="176"/>
    </row>
    <row r="22" spans="1:23" ht="38.25" customHeight="1">
      <c r="A22" s="124"/>
      <c r="B22" s="30" t="s">
        <v>133</v>
      </c>
      <c r="C22" s="182"/>
      <c r="D22" s="126"/>
      <c r="E22" s="126"/>
      <c r="F22" s="188"/>
      <c r="G22" s="189"/>
      <c r="H22" s="189"/>
      <c r="I22" s="118"/>
      <c r="J22" s="114"/>
      <c r="K22" s="182"/>
      <c r="L22" s="182"/>
      <c r="M22" s="28" t="str">
        <f t="shared" si="8"/>
        <v/>
      </c>
      <c r="N22" s="116"/>
      <c r="O22" s="28" t="str">
        <f t="shared" si="9"/>
        <v/>
      </c>
      <c r="P22" s="118"/>
      <c r="Q22" s="114"/>
      <c r="R22" s="114"/>
      <c r="S22" s="188"/>
      <c r="T22" s="188"/>
      <c r="U22" s="176"/>
    </row>
    <row r="23" spans="1:23" ht="38.25" customHeight="1">
      <c r="A23" s="124"/>
      <c r="B23" s="29" t="s">
        <v>134</v>
      </c>
      <c r="C23" s="183"/>
      <c r="D23" s="127"/>
      <c r="E23" s="127"/>
      <c r="F23" s="192"/>
      <c r="G23" s="190"/>
      <c r="H23" s="190"/>
      <c r="I23" s="119"/>
      <c r="J23" s="115"/>
      <c r="K23" s="31"/>
      <c r="L23" s="183"/>
      <c r="M23" s="38" t="str">
        <f t="shared" ref="M23" si="18">IF(L23="","",L23)</f>
        <v/>
      </c>
      <c r="N23" s="117"/>
      <c r="O23" s="38" t="str">
        <f t="shared" ref="O23" si="19">IF(M23="","",IF($J$9&lt;$K$9,"",M23*$N$9))</f>
        <v/>
      </c>
      <c r="P23" s="119"/>
      <c r="Q23" s="115"/>
      <c r="R23" s="115"/>
      <c r="S23" s="192"/>
      <c r="T23" s="192"/>
      <c r="U23" s="178"/>
    </row>
    <row r="24" spans="1:23">
      <c r="A24" s="113" t="s">
        <v>14</v>
      </c>
      <c r="B24" s="113"/>
      <c r="C24" s="113"/>
      <c r="D24" s="113"/>
      <c r="E24" s="113"/>
      <c r="F24" s="113"/>
      <c r="G24" s="13">
        <f t="shared" ref="G24:H24" si="20">SUM(G9:G23)</f>
        <v>0</v>
      </c>
      <c r="H24" s="13">
        <f t="shared" si="20"/>
        <v>0</v>
      </c>
      <c r="I24" s="13">
        <f t="shared" ref="I24" si="21">SUM(I9:I23)</f>
        <v>0</v>
      </c>
      <c r="J24" s="16"/>
      <c r="K24" s="13"/>
      <c r="L24" s="13"/>
      <c r="M24" s="13">
        <f t="shared" ref="M24" si="22">SUM(M9:M23)</f>
        <v>0</v>
      </c>
      <c r="N24" s="16"/>
      <c r="O24" s="13">
        <f t="shared" ref="O24" si="23">SUM(O9:O23)</f>
        <v>0</v>
      </c>
      <c r="P24" s="13">
        <f t="shared" ref="P24" si="24">SUM(P9:P23)</f>
        <v>0</v>
      </c>
      <c r="Q24" s="13">
        <f t="shared" ref="Q24:S24" si="25">SUM(Q9:Q23)</f>
        <v>0</v>
      </c>
      <c r="R24" s="13">
        <f>SUM(R9:R23)</f>
        <v>0</v>
      </c>
      <c r="S24" s="13">
        <f t="shared" si="25"/>
        <v>0</v>
      </c>
      <c r="T24" s="13">
        <f t="shared" ref="T24" si="26">SUM(T9:T23)</f>
        <v>0</v>
      </c>
      <c r="U24" s="13">
        <f>SUM(U9:U23)</f>
        <v>0</v>
      </c>
      <c r="W24" s="6">
        <f>SUM(W9:W23)</f>
        <v>0</v>
      </c>
    </row>
    <row r="25" spans="1:23" ht="37.65" customHeight="1">
      <c r="B25" s="26" t="str">
        <f>IF(W24&gt;3,"！同一の種別かつ同一の使用目的で補助できる機種は1種類限りです！","")</f>
        <v/>
      </c>
    </row>
    <row r="26" spans="1:23" ht="37.65" customHeight="1"/>
    <row r="27" spans="1:23" ht="37.65" customHeight="1"/>
    <row r="28" spans="1:23" ht="37.65" customHeight="1"/>
    <row r="29" spans="1:23" ht="37.65" customHeight="1"/>
  </sheetData>
  <sheetProtection algorithmName="SHA-512" hashValue="q2mEZfvjjo1IckcS0AdrvaQSs3FGFCsMThYqIaipVsElE7nnrGazzUlfXlgMWT2mnsld1mQZsWUnt5HoKSbiqA==" saltValue="f9HauB6Vny8wk953/BvVAQ==" spinCount="100000" sheet="1" objects="1" scenarios="1"/>
  <mergeCells count="37">
    <mergeCell ref="S9:S23"/>
    <mergeCell ref="T9:T23"/>
    <mergeCell ref="U9:U23"/>
    <mergeCell ref="R9:R13"/>
    <mergeCell ref="Q9:Q13"/>
    <mergeCell ref="P9:P13"/>
    <mergeCell ref="F9:F23"/>
    <mergeCell ref="A9:A23"/>
    <mergeCell ref="H14:H18"/>
    <mergeCell ref="H19:H23"/>
    <mergeCell ref="E10:E13"/>
    <mergeCell ref="E15:E18"/>
    <mergeCell ref="E20:E23"/>
    <mergeCell ref="D20:D23"/>
    <mergeCell ref="D15:D18"/>
    <mergeCell ref="D10:D13"/>
    <mergeCell ref="A24:F24"/>
    <mergeCell ref="J9:J23"/>
    <mergeCell ref="N9:N23"/>
    <mergeCell ref="I9:I13"/>
    <mergeCell ref="R14:R18"/>
    <mergeCell ref="Q14:Q18"/>
    <mergeCell ref="R19:R23"/>
    <mergeCell ref="Q19:Q23"/>
    <mergeCell ref="P14:P18"/>
    <mergeCell ref="P19:P23"/>
    <mergeCell ref="I19:I23"/>
    <mergeCell ref="I14:I18"/>
    <mergeCell ref="G9:G13"/>
    <mergeCell ref="G14:G18"/>
    <mergeCell ref="G19:G23"/>
    <mergeCell ref="H9:H13"/>
    <mergeCell ref="S1:U1"/>
    <mergeCell ref="S5:U5"/>
    <mergeCell ref="S4:U4"/>
    <mergeCell ref="S3:U3"/>
    <mergeCell ref="S2:U2"/>
  </mergeCells>
  <phoneticPr fontId="1"/>
  <conditionalFormatting sqref="M9 M14 M19">
    <cfRule type="expression" dxfId="8" priority="2">
      <formula>$M9="台数上限を超えています"</formula>
    </cfRule>
  </conditionalFormatting>
  <dataValidations xWindow="701" yWindow="294" count="3">
    <dataValidation type="list" allowBlank="1" showInputMessage="1" sqref="B9:B23" xr:uid="{1A50712C-F0AF-4584-8017-B7D634BF3729}">
      <formula1>"移乗支援（装着）,移乗支援（非装着）,移動支援（屋外）,移動支援（屋内）,移動支援（装着）,排泄支援（排泄物処理）,排泄物（排泄予測、検知）,排泄支援（動作支援）,見守り・コミュニケーション（施設）,見守り・コミュニケーション（在宅）,見守り・コミュニケーション（コミュニケーション）,入浴支援,介護業務支援,機能訓練支援,食事・栄養管理支援,認知症生活支援・認知症ケア支援"</formula1>
    </dataValidation>
    <dataValidation allowBlank="1" showInputMessage="1" showErrorMessage="1" prompt="情報端末の1台あたりの金額に補助率3/4を乗じて10万円を超える場合、10万円までが補助対象額となります。" sqref="L20:L22 L15:L17 L10:L12" xr:uid="{B607E3D1-FA5E-4006-83AC-C7BE81C4F163}"/>
    <dataValidation type="list" allowBlank="1" showInputMessage="1" showErrorMessage="1" sqref="D9 D14 D19" xr:uid="{950023D0-AA93-4F60-949E-0D13234CE1E2}">
      <formula1>"有,無"</formula1>
    </dataValidation>
  </dataValidations>
  <pageMargins left="0.7" right="0.7" top="0.75" bottom="0.75" header="0.3" footer="0.3"/>
  <pageSetup paperSize="9" scale="25" orientation="portrait" r:id="rId1"/>
  <extLst>
    <ext xmlns:x14="http://schemas.microsoft.com/office/spreadsheetml/2009/9/main" uri="{CCE6A557-97BC-4b89-ADB6-D9C93CAAB3DF}">
      <x14:dataValidations xmlns:xm="http://schemas.microsoft.com/office/excel/2006/main" xWindow="701" yWindow="294" count="3">
        <x14:dataValidation type="list" allowBlank="1" showInputMessage="1" prompt="その他を選択した場合は、（）内に具体的な使用目的を記載してください。" xr:uid="{5B43E1E6-D5D4-4E61-87F3-C8B5E94A8E5A}">
          <x14:formula1>
            <xm:f>データリスト!$C$3:$C$10</xm:f>
          </x14:formula1>
          <xm:sqref>E9 E14 E19</xm:sqref>
        </x14:dataValidation>
        <x14:dataValidation type="list" allowBlank="1" showInputMessage="1" showErrorMessage="1" xr:uid="{BB7F0A89-4614-480A-8A1B-8A20099B95FE}">
          <x14:formula1>
            <xm:f>データリスト!$A$2:$A$53</xm:f>
          </x14:formula1>
          <xm:sqref>R4</xm:sqref>
        </x14:dataValidation>
        <x14:dataValidation type="list" allowBlank="1" showInputMessage="1" showErrorMessage="1" xr:uid="{31DB8307-25E2-4A0D-BD77-15D4B16D029F}">
          <x14:formula1>
            <xm:f>データリスト!$A$2:$A$55</xm:f>
          </x14:formula1>
          <xm:sqref>S4:U4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D78DB-C8F4-4968-AAE0-3357F3D1AC27}">
  <sheetPr codeName="Sheet12"/>
  <dimension ref="A1:U24"/>
  <sheetViews>
    <sheetView view="pageBreakPreview" topLeftCell="E1" zoomScale="80" zoomScaleNormal="70" zoomScaleSheetLayoutView="80" workbookViewId="0">
      <selection activeCell="Q1" sqref="Q1:S5"/>
    </sheetView>
  </sheetViews>
  <sheetFormatPr defaultColWidth="8.83203125" defaultRowHeight="18"/>
  <cols>
    <col min="1" max="1" width="5.4140625" style="6" customWidth="1"/>
    <col min="2" max="2" width="25.83203125" style="6" customWidth="1"/>
    <col min="3" max="3" width="26.08203125" style="6" bestFit="1" customWidth="1"/>
    <col min="4" max="4" width="10.4140625" style="6" customWidth="1"/>
    <col min="5" max="5" width="40.1640625" style="6" customWidth="1"/>
    <col min="6" max="11" width="13" style="6" customWidth="1"/>
    <col min="12" max="12" width="6.83203125" style="6" bestFit="1" customWidth="1"/>
    <col min="13" max="15" width="13" style="6" customWidth="1"/>
    <col min="16" max="19" width="14.08203125" style="6" customWidth="1"/>
    <col min="20" max="20" width="74.5" style="6" bestFit="1" customWidth="1"/>
    <col min="21" max="16384" width="8.83203125" style="6"/>
  </cols>
  <sheetData>
    <row r="1" spans="1:21">
      <c r="A1" s="6" t="s">
        <v>24</v>
      </c>
      <c r="L1" s="9"/>
      <c r="P1" s="9" t="s">
        <v>28</v>
      </c>
      <c r="Q1" s="110"/>
      <c r="R1" s="110"/>
      <c r="S1" s="110"/>
    </row>
    <row r="2" spans="1:21">
      <c r="A2" s="6" t="s">
        <v>206</v>
      </c>
      <c r="L2" s="9"/>
      <c r="P2" s="9" t="s">
        <v>29</v>
      </c>
      <c r="Q2" s="111"/>
      <c r="R2" s="111"/>
      <c r="S2" s="111"/>
    </row>
    <row r="3" spans="1:21">
      <c r="L3" s="9"/>
      <c r="P3" s="9" t="s">
        <v>30</v>
      </c>
      <c r="Q3" s="111"/>
      <c r="R3" s="111"/>
      <c r="S3" s="111"/>
    </row>
    <row r="4" spans="1:21">
      <c r="A4" s="7" t="s">
        <v>3</v>
      </c>
      <c r="B4" s="7" t="s">
        <v>21</v>
      </c>
      <c r="C4" s="7"/>
      <c r="E4" s="8"/>
      <c r="F4" s="8"/>
      <c r="G4" s="8"/>
      <c r="H4" s="8"/>
      <c r="I4" s="8"/>
      <c r="L4" s="9"/>
      <c r="P4" s="9" t="s">
        <v>31</v>
      </c>
      <c r="Q4" s="112"/>
      <c r="R4" s="112"/>
      <c r="S4" s="112"/>
    </row>
    <row r="5" spans="1:21">
      <c r="A5" s="8"/>
      <c r="B5" s="8"/>
      <c r="C5" s="8"/>
      <c r="E5" s="8"/>
      <c r="F5" s="8"/>
      <c r="G5" s="8"/>
      <c r="H5" s="8"/>
      <c r="I5" s="8"/>
      <c r="L5" s="9"/>
      <c r="P5" s="9" t="s">
        <v>32</v>
      </c>
      <c r="Q5" s="111"/>
      <c r="R5" s="111"/>
      <c r="S5" s="111"/>
    </row>
    <row r="6" spans="1:21" ht="40" customHeight="1">
      <c r="D6" s="99"/>
      <c r="F6" s="55" t="s">
        <v>142</v>
      </c>
      <c r="G6" s="55" t="s">
        <v>143</v>
      </c>
      <c r="H6" s="55" t="s">
        <v>144</v>
      </c>
      <c r="I6" s="55" t="s">
        <v>145</v>
      </c>
      <c r="J6" s="55" t="s">
        <v>146</v>
      </c>
      <c r="K6" s="55" t="s">
        <v>147</v>
      </c>
      <c r="L6" s="55"/>
      <c r="M6" s="55" t="s">
        <v>148</v>
      </c>
      <c r="N6" s="55" t="s">
        <v>162</v>
      </c>
      <c r="O6" s="55" t="s">
        <v>150</v>
      </c>
      <c r="P6" s="46" t="s">
        <v>194</v>
      </c>
      <c r="Q6" s="55" t="s">
        <v>195</v>
      </c>
      <c r="R6" s="55" t="s">
        <v>201</v>
      </c>
      <c r="S6" s="46" t="s">
        <v>202</v>
      </c>
    </row>
    <row r="7" spans="1:21" s="1" customFormat="1" ht="60.5" customHeight="1">
      <c r="A7" s="94"/>
      <c r="B7" s="94" t="s">
        <v>2</v>
      </c>
      <c r="C7" s="94" t="s">
        <v>27</v>
      </c>
      <c r="D7" s="85" t="s">
        <v>130</v>
      </c>
      <c r="E7" s="94" t="s">
        <v>33</v>
      </c>
      <c r="F7" s="85" t="s">
        <v>141</v>
      </c>
      <c r="G7" s="94" t="s">
        <v>6</v>
      </c>
      <c r="H7" s="94" t="s">
        <v>7</v>
      </c>
      <c r="I7" s="85" t="s">
        <v>9</v>
      </c>
      <c r="J7" s="85" t="s">
        <v>135</v>
      </c>
      <c r="K7" s="85" t="s">
        <v>8</v>
      </c>
      <c r="L7" s="94" t="s">
        <v>10</v>
      </c>
      <c r="M7" s="85" t="s">
        <v>158</v>
      </c>
      <c r="N7" s="94" t="s">
        <v>159</v>
      </c>
      <c r="O7" s="85" t="s">
        <v>127</v>
      </c>
      <c r="P7" s="85" t="s">
        <v>193</v>
      </c>
      <c r="Q7" s="85" t="s">
        <v>199</v>
      </c>
      <c r="R7" s="85" t="s">
        <v>200</v>
      </c>
      <c r="S7" s="85" t="s">
        <v>203</v>
      </c>
    </row>
    <row r="8" spans="1:21" s="1" customFormat="1" ht="18" customHeight="1">
      <c r="A8" s="95"/>
      <c r="B8" s="96"/>
      <c r="C8" s="96"/>
      <c r="D8" s="89"/>
      <c r="E8" s="96"/>
      <c r="F8" s="96" t="s">
        <v>191</v>
      </c>
      <c r="G8" s="96" t="s">
        <v>191</v>
      </c>
      <c r="H8" s="96" t="s">
        <v>191</v>
      </c>
      <c r="I8" s="92" t="s">
        <v>192</v>
      </c>
      <c r="J8" s="92" t="s">
        <v>191</v>
      </c>
      <c r="K8" s="92" t="s">
        <v>191</v>
      </c>
      <c r="L8" s="96"/>
      <c r="M8" s="92" t="s">
        <v>191</v>
      </c>
      <c r="N8" s="92" t="s">
        <v>191</v>
      </c>
      <c r="O8" s="92" t="s">
        <v>191</v>
      </c>
      <c r="P8" s="92" t="s">
        <v>191</v>
      </c>
      <c r="Q8" s="90" t="s">
        <v>191</v>
      </c>
      <c r="R8" s="90" t="s">
        <v>191</v>
      </c>
      <c r="S8" s="97" t="s">
        <v>191</v>
      </c>
    </row>
    <row r="9" spans="1:21" ht="38.25" customHeight="1">
      <c r="A9" s="138" t="s">
        <v>22</v>
      </c>
      <c r="B9" s="139"/>
      <c r="C9" s="65" t="s">
        <v>180</v>
      </c>
      <c r="D9" s="105" t="s">
        <v>169</v>
      </c>
      <c r="E9" s="145"/>
      <c r="F9" s="161">
        <v>4600000</v>
      </c>
      <c r="G9" s="161">
        <v>0</v>
      </c>
      <c r="H9" s="151">
        <f>IF(F9="","",F9-G9)</f>
        <v>4600000</v>
      </c>
      <c r="I9" s="157"/>
      <c r="J9" s="57">
        <v>2000000</v>
      </c>
      <c r="K9" s="21">
        <f t="shared" ref="K9:K12" si="0">IF(J9="","",J9)</f>
        <v>2000000</v>
      </c>
      <c r="L9" s="142">
        <v>0.75</v>
      </c>
      <c r="M9" s="19">
        <f>IF(K9="","",K9*$L$9)</f>
        <v>1500000</v>
      </c>
      <c r="N9" s="135">
        <f>IF(F9="","",ROUNDDOWN(SUM(M9:M20),-3))</f>
        <v>3450000</v>
      </c>
      <c r="O9" s="135">
        <f>IF(N9="","",4000000)</f>
        <v>4000000</v>
      </c>
      <c r="P9" s="135">
        <f>IF(O9="","",ROUNDDOWN(MIN(H9,N9,O9),-3))</f>
        <v>3450000</v>
      </c>
      <c r="Q9" s="158">
        <v>3000000</v>
      </c>
      <c r="R9" s="158">
        <v>1000000</v>
      </c>
      <c r="S9" s="135">
        <f>IF(Q9="","",IF(P9&gt;Q9,Q9-R9,P9-R9))</f>
        <v>2000000</v>
      </c>
    </row>
    <row r="10" spans="1:21" ht="38.25" customHeight="1">
      <c r="A10" s="138"/>
      <c r="B10" s="140"/>
      <c r="C10" s="66"/>
      <c r="D10" s="106"/>
      <c r="E10" s="146"/>
      <c r="F10" s="162"/>
      <c r="G10" s="162"/>
      <c r="H10" s="152"/>
      <c r="I10" s="126"/>
      <c r="J10" s="75"/>
      <c r="K10" s="22" t="str">
        <f t="shared" si="0"/>
        <v/>
      </c>
      <c r="L10" s="143"/>
      <c r="M10" s="20" t="str">
        <f t="shared" ref="M10:M16" si="1">IF(K10="","",K10*$L$9)</f>
        <v/>
      </c>
      <c r="N10" s="136"/>
      <c r="O10" s="136"/>
      <c r="P10" s="136"/>
      <c r="Q10" s="159"/>
      <c r="R10" s="159"/>
      <c r="S10" s="136"/>
    </row>
    <row r="11" spans="1:21" ht="38.25" customHeight="1">
      <c r="A11" s="138"/>
      <c r="B11" s="140"/>
      <c r="C11" s="66"/>
      <c r="D11" s="106"/>
      <c r="E11" s="146"/>
      <c r="F11" s="162"/>
      <c r="G11" s="162"/>
      <c r="H11" s="152"/>
      <c r="I11" s="126"/>
      <c r="J11" s="75"/>
      <c r="K11" s="22" t="str">
        <f t="shared" si="0"/>
        <v/>
      </c>
      <c r="L11" s="143"/>
      <c r="M11" s="20" t="str">
        <f t="shared" si="1"/>
        <v/>
      </c>
      <c r="N11" s="136"/>
      <c r="O11" s="136"/>
      <c r="P11" s="136"/>
      <c r="Q11" s="159"/>
      <c r="R11" s="159"/>
      <c r="S11" s="136"/>
    </row>
    <row r="12" spans="1:21" ht="38.25" customHeight="1">
      <c r="A12" s="138"/>
      <c r="B12" s="140"/>
      <c r="C12" s="66"/>
      <c r="D12" s="106"/>
      <c r="E12" s="146"/>
      <c r="F12" s="162"/>
      <c r="G12" s="162"/>
      <c r="H12" s="152"/>
      <c r="I12" s="126"/>
      <c r="J12" s="75"/>
      <c r="K12" s="22" t="str">
        <f t="shared" si="0"/>
        <v/>
      </c>
      <c r="L12" s="143"/>
      <c r="M12" s="20" t="str">
        <f t="shared" si="1"/>
        <v/>
      </c>
      <c r="N12" s="136"/>
      <c r="O12" s="136"/>
      <c r="P12" s="136"/>
      <c r="Q12" s="159"/>
      <c r="R12" s="159"/>
      <c r="S12" s="136"/>
    </row>
    <row r="13" spans="1:21" ht="38.25" customHeight="1">
      <c r="A13" s="138"/>
      <c r="B13" s="141"/>
      <c r="C13" s="67"/>
      <c r="D13" s="107"/>
      <c r="E13" s="147"/>
      <c r="F13" s="162"/>
      <c r="G13" s="162"/>
      <c r="H13" s="152"/>
      <c r="I13" s="127"/>
      <c r="J13" s="60"/>
      <c r="K13" s="52" t="str">
        <f>IF(J13="","",J13)</f>
        <v/>
      </c>
      <c r="L13" s="143"/>
      <c r="M13" s="50" t="str">
        <f t="shared" si="1"/>
        <v/>
      </c>
      <c r="N13" s="136"/>
      <c r="O13" s="136"/>
      <c r="P13" s="136"/>
      <c r="Q13" s="159"/>
      <c r="R13" s="159"/>
      <c r="S13" s="136"/>
    </row>
    <row r="14" spans="1:21" ht="37.65" customHeight="1">
      <c r="A14" s="138" t="s">
        <v>23</v>
      </c>
      <c r="B14" s="69" t="s">
        <v>79</v>
      </c>
      <c r="C14" s="65" t="s">
        <v>184</v>
      </c>
      <c r="D14" s="108" t="s">
        <v>169</v>
      </c>
      <c r="E14" s="70" t="s">
        <v>120</v>
      </c>
      <c r="F14" s="162"/>
      <c r="G14" s="162"/>
      <c r="H14" s="152"/>
      <c r="I14" s="57">
        <v>5</v>
      </c>
      <c r="J14" s="57">
        <v>200000</v>
      </c>
      <c r="K14" s="21">
        <f>IF(I14="","",I14*J14)</f>
        <v>1000000</v>
      </c>
      <c r="L14" s="143"/>
      <c r="M14" s="19">
        <f t="shared" si="1"/>
        <v>750000</v>
      </c>
      <c r="N14" s="136"/>
      <c r="O14" s="136"/>
      <c r="P14" s="136"/>
      <c r="Q14" s="159"/>
      <c r="R14" s="159"/>
      <c r="S14" s="136"/>
      <c r="T14" s="6" t="str">
        <f>CONCATENATE(B14,E14)</f>
        <v>見守り・コミュニケーション（見守り（施設））記録業務に要する時間の短縮</v>
      </c>
      <c r="U14" s="6">
        <f>IF(B14="","",IF(T14="","",COUNTIF($T$14:$T$16,T14)))</f>
        <v>1</v>
      </c>
    </row>
    <row r="15" spans="1:21" ht="37.65" customHeight="1">
      <c r="A15" s="138"/>
      <c r="B15" s="71"/>
      <c r="C15" s="66"/>
      <c r="D15" s="106"/>
      <c r="E15" s="72"/>
      <c r="F15" s="162"/>
      <c r="G15" s="162"/>
      <c r="H15" s="152"/>
      <c r="I15" s="75"/>
      <c r="J15" s="75"/>
      <c r="K15" s="22" t="str">
        <f t="shared" ref="K15:K16" si="2">IF(I15="","",I15*J15)</f>
        <v/>
      </c>
      <c r="L15" s="143"/>
      <c r="M15" s="20" t="str">
        <f t="shared" si="1"/>
        <v/>
      </c>
      <c r="N15" s="136"/>
      <c r="O15" s="136"/>
      <c r="P15" s="136"/>
      <c r="Q15" s="159"/>
      <c r="R15" s="159"/>
      <c r="S15" s="136"/>
      <c r="T15" s="6" t="str">
        <f>CONCATENATE(B15,E15)</f>
        <v/>
      </c>
      <c r="U15" s="6" t="str">
        <f t="shared" ref="U15:U16" si="3">IF(B15="","",IF(T15="","",COUNTIF($T$14:$T$16,T15)))</f>
        <v/>
      </c>
    </row>
    <row r="16" spans="1:21" ht="37.65" customHeight="1">
      <c r="A16" s="138"/>
      <c r="B16" s="73"/>
      <c r="C16" s="68"/>
      <c r="D16" s="109"/>
      <c r="E16" s="74"/>
      <c r="F16" s="162"/>
      <c r="G16" s="162"/>
      <c r="H16" s="152"/>
      <c r="I16" s="76"/>
      <c r="J16" s="76"/>
      <c r="K16" s="45" t="str">
        <f t="shared" si="2"/>
        <v/>
      </c>
      <c r="L16" s="143"/>
      <c r="M16" s="44" t="str">
        <f t="shared" si="1"/>
        <v/>
      </c>
      <c r="N16" s="136"/>
      <c r="O16" s="136"/>
      <c r="P16" s="136"/>
      <c r="Q16" s="159"/>
      <c r="R16" s="159"/>
      <c r="S16" s="136"/>
      <c r="T16" s="6" t="str">
        <f>CONCATENATE(B16,E16)</f>
        <v/>
      </c>
      <c r="U16" s="6" t="str">
        <f t="shared" si="3"/>
        <v/>
      </c>
    </row>
    <row r="17" spans="1:21" ht="37.65" customHeight="1">
      <c r="A17" s="138"/>
      <c r="B17" s="43" t="s">
        <v>154</v>
      </c>
      <c r="C17" s="59" t="s">
        <v>170</v>
      </c>
      <c r="D17" s="102"/>
      <c r="E17" s="154"/>
      <c r="F17" s="162"/>
      <c r="G17" s="162"/>
      <c r="H17" s="152"/>
      <c r="I17" s="59">
        <v>5</v>
      </c>
      <c r="J17" s="59">
        <v>120000</v>
      </c>
      <c r="K17" s="28">
        <f>IF(I17="","",I17*J17)</f>
        <v>600000</v>
      </c>
      <c r="L17" s="143"/>
      <c r="M17" s="28">
        <f>IF(K17="","",IF(J17*$L$9&gt;100000,100000*I17,K17*$L$9))</f>
        <v>450000</v>
      </c>
      <c r="N17" s="136"/>
      <c r="O17" s="136"/>
      <c r="P17" s="136"/>
      <c r="Q17" s="159"/>
      <c r="R17" s="159"/>
      <c r="S17" s="136"/>
      <c r="U17" s="6">
        <f>SUM(U14:U16)</f>
        <v>1</v>
      </c>
    </row>
    <row r="18" spans="1:21" ht="37.65" customHeight="1">
      <c r="A18" s="138"/>
      <c r="B18" s="42" t="s">
        <v>155</v>
      </c>
      <c r="C18" s="59"/>
      <c r="D18" s="102"/>
      <c r="E18" s="155"/>
      <c r="F18" s="162"/>
      <c r="G18" s="162"/>
      <c r="H18" s="152"/>
      <c r="I18" s="59"/>
      <c r="J18" s="59"/>
      <c r="K18" s="28" t="str">
        <f t="shared" ref="K18:K19" si="4">IF(I18="","",I18*J18)</f>
        <v/>
      </c>
      <c r="L18" s="143"/>
      <c r="M18" s="20" t="str">
        <f t="shared" ref="M18:M19" si="5">IF(K18="","",IF(J18*$L$9&gt;100000,100000*I18,K18*$L$9))</f>
        <v/>
      </c>
      <c r="N18" s="136"/>
      <c r="O18" s="136"/>
      <c r="P18" s="136"/>
      <c r="Q18" s="159"/>
      <c r="R18" s="159"/>
      <c r="S18" s="136"/>
    </row>
    <row r="19" spans="1:21" ht="37.65" customHeight="1">
      <c r="A19" s="138"/>
      <c r="B19" s="42" t="s">
        <v>156</v>
      </c>
      <c r="C19" s="59"/>
      <c r="D19" s="103"/>
      <c r="E19" s="155"/>
      <c r="F19" s="162"/>
      <c r="G19" s="162"/>
      <c r="H19" s="152"/>
      <c r="I19" s="59"/>
      <c r="J19" s="59"/>
      <c r="K19" s="28" t="str">
        <f t="shared" si="4"/>
        <v/>
      </c>
      <c r="L19" s="143"/>
      <c r="M19" s="20" t="str">
        <f t="shared" si="5"/>
        <v/>
      </c>
      <c r="N19" s="136"/>
      <c r="O19" s="136"/>
      <c r="P19" s="136"/>
      <c r="Q19" s="159"/>
      <c r="R19" s="159"/>
      <c r="S19" s="136"/>
    </row>
    <row r="20" spans="1:21" ht="37.65" customHeight="1">
      <c r="A20" s="138"/>
      <c r="B20" s="42" t="s">
        <v>157</v>
      </c>
      <c r="C20" s="60" t="s">
        <v>173</v>
      </c>
      <c r="D20" s="104"/>
      <c r="E20" s="156"/>
      <c r="F20" s="163"/>
      <c r="G20" s="163"/>
      <c r="H20" s="153"/>
      <c r="I20" s="31"/>
      <c r="J20" s="60">
        <v>1000000</v>
      </c>
      <c r="K20" s="52">
        <f>IF(J20="","",J20)</f>
        <v>1000000</v>
      </c>
      <c r="L20" s="143"/>
      <c r="M20" s="51">
        <f>IF(K20="","",K20*$L$9)</f>
        <v>750000</v>
      </c>
      <c r="N20" s="136"/>
      <c r="O20" s="136"/>
      <c r="P20" s="136"/>
      <c r="Q20" s="159"/>
      <c r="R20" s="159"/>
      <c r="S20" s="136"/>
    </row>
    <row r="21" spans="1:21">
      <c r="A21" s="148" t="s">
        <v>14</v>
      </c>
      <c r="B21" s="149"/>
      <c r="C21" s="149"/>
      <c r="D21" s="149"/>
      <c r="E21" s="150"/>
      <c r="F21" s="13">
        <f>SUM(F9)</f>
        <v>4600000</v>
      </c>
      <c r="G21" s="13">
        <f t="shared" ref="G21:H21" si="6">SUM(G9)</f>
        <v>0</v>
      </c>
      <c r="H21" s="13">
        <f t="shared" si="6"/>
        <v>4600000</v>
      </c>
      <c r="I21" s="13"/>
      <c r="J21" s="13"/>
      <c r="K21" s="13">
        <f>SUM(K9:K20)</f>
        <v>4600000</v>
      </c>
      <c r="L21" s="144"/>
      <c r="M21" s="13">
        <f>SUM(M9:M20)</f>
        <v>3450000</v>
      </c>
      <c r="N21" s="137"/>
      <c r="O21" s="137"/>
      <c r="P21" s="137"/>
      <c r="Q21" s="160"/>
      <c r="R21" s="160"/>
      <c r="S21" s="137"/>
    </row>
    <row r="22" spans="1:21" ht="18" customHeight="1">
      <c r="B22" s="26" t="str">
        <f>IF(U17&gt;3,"！同一の種別かつ同一の連携目的で補助できる機種は1種類限りです！","")</f>
        <v/>
      </c>
    </row>
    <row r="23" spans="1:21" ht="18" customHeight="1">
      <c r="A23" s="6" t="s">
        <v>188</v>
      </c>
    </row>
    <row r="24" spans="1:21" ht="65" customHeight="1">
      <c r="A24" s="164" t="s">
        <v>189</v>
      </c>
      <c r="B24" s="165"/>
      <c r="C24" s="165"/>
      <c r="D24" s="165"/>
      <c r="E24" s="166"/>
      <c r="F24" s="79" t="str">
        <f>IF(A24="","「パッケージとしての活用方法の詳細」は必須項目です","")</f>
        <v/>
      </c>
    </row>
  </sheetData>
  <mergeCells count="23">
    <mergeCell ref="A24:E24"/>
    <mergeCell ref="A14:A20"/>
    <mergeCell ref="E17:E20"/>
    <mergeCell ref="A21:E21"/>
    <mergeCell ref="H9:H20"/>
    <mergeCell ref="I9:I13"/>
    <mergeCell ref="A9:A13"/>
    <mergeCell ref="B9:B13"/>
    <mergeCell ref="E9:E13"/>
    <mergeCell ref="F9:F20"/>
    <mergeCell ref="G9:G20"/>
    <mergeCell ref="L9:L21"/>
    <mergeCell ref="N9:N21"/>
    <mergeCell ref="O9:O21"/>
    <mergeCell ref="P9:P21"/>
    <mergeCell ref="Q1:S1"/>
    <mergeCell ref="Q2:S2"/>
    <mergeCell ref="Q3:S3"/>
    <mergeCell ref="Q4:S4"/>
    <mergeCell ref="Q5:S5"/>
    <mergeCell ref="Q9:Q21"/>
    <mergeCell ref="S9:S21"/>
    <mergeCell ref="R9:R21"/>
  </mergeCells>
  <phoneticPr fontId="1"/>
  <dataValidations count="3">
    <dataValidation allowBlank="1" showInputMessage="1" showErrorMessage="1" prompt="情報端末の1台あたりの金額に補助率3/4を乗じて10万円を超える場合、10万円までが補助対象額となります。" sqref="J17:J19" xr:uid="{1DAB191C-5524-49B5-AC00-EE95C8AD76A3}"/>
    <dataValidation allowBlank="1" showInputMessage="1" sqref="E17" xr:uid="{62D53F4B-A860-49DE-A37D-CF082E06C785}"/>
    <dataValidation type="list" allowBlank="1" showInputMessage="1" showErrorMessage="1" sqref="D9:D16" xr:uid="{DFFC04AC-E22C-4C14-BC0E-9CCFDDEF283A}">
      <formula1>"有,無"</formula1>
    </dataValidation>
  </dataValidations>
  <pageMargins left="0.7" right="0.7" top="0.75" bottom="0.75" header="0.3" footer="0.3"/>
  <pageSetup paperSize="9" scale="27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prompt="その他を選択した場合は（）内に具体的な使用目的を記載してください。" xr:uid="{C615D359-1C01-4914-A2D4-7A27999C60EA}">
          <x14:formula1>
            <xm:f>データリスト!$C$24:$C$31</xm:f>
          </x14:formula1>
          <xm:sqref>E14:E16</xm:sqref>
        </x14:dataValidation>
        <x14:dataValidation type="list" allowBlank="1" showInputMessage="1" showErrorMessage="1" xr:uid="{980ED59C-71B1-4DFE-84A0-1FBA5EC267A9}">
          <x14:formula1>
            <xm:f>データリスト!$C$23:$R$23</xm:f>
          </x14:formula1>
          <xm:sqref>B14:B16</xm:sqref>
        </x14:dataValidation>
        <x14:dataValidation type="list" allowBlank="1" showInputMessage="1" showErrorMessage="1" xr:uid="{05E30062-D0DB-4B17-9FD1-0B396D25F840}">
          <x14:formula1>
            <xm:f>データリスト!$A$2:$A$55</xm:f>
          </x14:formula1>
          <xm:sqref>Q4:S4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01111-5C85-43B2-9988-A23004FBE8A0}">
  <sheetPr codeName="Sheet13"/>
  <dimension ref="A1:O14"/>
  <sheetViews>
    <sheetView view="pageBreakPreview" zoomScale="90" zoomScaleNormal="70" zoomScaleSheetLayoutView="90" workbookViewId="0">
      <selection activeCell="M18" sqref="M18"/>
    </sheetView>
  </sheetViews>
  <sheetFormatPr defaultRowHeight="18"/>
  <cols>
    <col min="1" max="1" width="5.4140625" customWidth="1"/>
    <col min="2" max="2" width="26.08203125" bestFit="1" customWidth="1"/>
    <col min="3" max="3" width="25.4140625" customWidth="1"/>
    <col min="4" max="7" width="13" customWidth="1"/>
    <col min="8" max="8" width="5.9140625" customWidth="1"/>
    <col min="9" max="11" width="13" customWidth="1"/>
    <col min="12" max="15" width="15.5" customWidth="1"/>
  </cols>
  <sheetData>
    <row r="1" spans="1:15">
      <c r="A1" t="s">
        <v>187</v>
      </c>
      <c r="L1" s="9" t="s">
        <v>28</v>
      </c>
      <c r="M1" s="194"/>
      <c r="N1" s="194"/>
      <c r="O1" s="194"/>
    </row>
    <row r="2" spans="1:15">
      <c r="A2" s="6" t="s">
        <v>206</v>
      </c>
      <c r="L2" s="9" t="s">
        <v>29</v>
      </c>
      <c r="M2" s="195"/>
      <c r="N2" s="195"/>
      <c r="O2" s="195"/>
    </row>
    <row r="3" spans="1:15">
      <c r="L3" s="9" t="s">
        <v>30</v>
      </c>
      <c r="M3" s="195"/>
      <c r="N3" s="195"/>
      <c r="O3" s="195"/>
    </row>
    <row r="4" spans="1:15">
      <c r="A4" s="5" t="s">
        <v>3</v>
      </c>
      <c r="B4" s="5" t="s">
        <v>19</v>
      </c>
      <c r="C4" s="4"/>
      <c r="D4" s="4"/>
      <c r="E4" s="4"/>
      <c r="L4" s="9" t="s">
        <v>31</v>
      </c>
      <c r="M4" s="196"/>
      <c r="N4" s="196"/>
      <c r="O4" s="196"/>
    </row>
    <row r="5" spans="1:15">
      <c r="A5" s="4"/>
      <c r="B5" s="4"/>
      <c r="C5" s="4"/>
      <c r="D5" s="4"/>
      <c r="E5" s="4"/>
      <c r="L5" s="9" t="s">
        <v>32</v>
      </c>
      <c r="M5" s="195"/>
      <c r="N5" s="195"/>
      <c r="O5" s="195"/>
    </row>
    <row r="6" spans="1:15" ht="40" customHeight="1">
      <c r="B6" s="77"/>
      <c r="D6" s="40" t="s">
        <v>142</v>
      </c>
      <c r="E6" s="40" t="s">
        <v>143</v>
      </c>
      <c r="F6" s="40" t="s">
        <v>144</v>
      </c>
      <c r="G6" s="40" t="s">
        <v>145</v>
      </c>
      <c r="H6" s="40"/>
      <c r="I6" s="47" t="s">
        <v>163</v>
      </c>
      <c r="J6" s="48" t="s">
        <v>164</v>
      </c>
      <c r="K6" s="40" t="s">
        <v>161</v>
      </c>
      <c r="L6" s="46" t="s">
        <v>198</v>
      </c>
      <c r="M6" s="46" t="s">
        <v>150</v>
      </c>
      <c r="N6" s="46" t="s">
        <v>197</v>
      </c>
      <c r="O6" s="46" t="s">
        <v>205</v>
      </c>
    </row>
    <row r="7" spans="1:15" s="1" customFormat="1" ht="57" customHeight="1">
      <c r="A7" s="94"/>
      <c r="B7" s="94" t="s">
        <v>2</v>
      </c>
      <c r="C7" s="94" t="s">
        <v>20</v>
      </c>
      <c r="D7" s="94" t="s">
        <v>5</v>
      </c>
      <c r="E7" s="94" t="s">
        <v>6</v>
      </c>
      <c r="F7" s="94" t="s">
        <v>7</v>
      </c>
      <c r="G7" s="94" t="s">
        <v>8</v>
      </c>
      <c r="H7" s="94" t="s">
        <v>10</v>
      </c>
      <c r="I7" s="94" t="s">
        <v>158</v>
      </c>
      <c r="J7" s="94" t="s">
        <v>159</v>
      </c>
      <c r="K7" s="85" t="s">
        <v>127</v>
      </c>
      <c r="L7" s="85" t="s">
        <v>193</v>
      </c>
      <c r="M7" s="85" t="s">
        <v>199</v>
      </c>
      <c r="N7" s="85" t="s">
        <v>200</v>
      </c>
      <c r="O7" s="85" t="s">
        <v>203</v>
      </c>
    </row>
    <row r="8" spans="1:15" s="1" customFormat="1">
      <c r="A8" s="95"/>
      <c r="B8" s="96"/>
      <c r="C8" s="96"/>
      <c r="D8" s="96" t="s">
        <v>191</v>
      </c>
      <c r="E8" s="96" t="s">
        <v>191</v>
      </c>
      <c r="F8" s="96" t="s">
        <v>191</v>
      </c>
      <c r="G8" s="96" t="s">
        <v>191</v>
      </c>
      <c r="H8" s="96"/>
      <c r="I8" s="96" t="s">
        <v>191</v>
      </c>
      <c r="J8" s="96" t="s">
        <v>191</v>
      </c>
      <c r="K8" s="96" t="s">
        <v>191</v>
      </c>
      <c r="L8" s="96" t="s">
        <v>191</v>
      </c>
      <c r="M8" s="90" t="s">
        <v>191</v>
      </c>
      <c r="N8" s="90" t="s">
        <v>191</v>
      </c>
      <c r="O8" s="97" t="s">
        <v>191</v>
      </c>
    </row>
    <row r="9" spans="1:15" ht="38.25" customHeight="1">
      <c r="A9" s="138" t="s">
        <v>19</v>
      </c>
      <c r="B9" s="218"/>
      <c r="C9" s="210"/>
      <c r="D9" s="193"/>
      <c r="E9" s="193"/>
      <c r="F9" s="170" t="str">
        <f>IF(E9="","",D9-E9)</f>
        <v/>
      </c>
      <c r="G9" s="184"/>
      <c r="H9" s="133">
        <v>0.75</v>
      </c>
      <c r="I9" s="19" t="str">
        <f>IF(G9="","",G9*$H$9)</f>
        <v/>
      </c>
      <c r="J9" s="170" t="str">
        <f>IF(F9="","",ROUNDDOWN(SUM(I9:I13),-3))</f>
        <v/>
      </c>
      <c r="K9" s="170" t="str">
        <f>IF(J9="","",450000)</f>
        <v/>
      </c>
      <c r="L9" s="170" t="str">
        <f>IF(K9="","",ROUNDDOWN(MIN(F9,J9,K9),-3))</f>
        <v/>
      </c>
      <c r="M9" s="198"/>
      <c r="N9" s="198"/>
      <c r="O9" s="170" t="str">
        <f>IF(M9="","",IF(L9&gt;M9,M9-N9,L9-N9))</f>
        <v/>
      </c>
    </row>
    <row r="10" spans="1:15" ht="38.25" customHeight="1">
      <c r="A10" s="138"/>
      <c r="B10" s="225"/>
      <c r="C10" s="226"/>
      <c r="D10" s="188"/>
      <c r="E10" s="188"/>
      <c r="F10" s="171"/>
      <c r="G10" s="205"/>
      <c r="H10" s="116"/>
      <c r="I10" s="20" t="str">
        <f>IF(G10="","",G10*$H$9)</f>
        <v/>
      </c>
      <c r="J10" s="171"/>
      <c r="K10" s="171"/>
      <c r="L10" s="171"/>
      <c r="M10" s="199"/>
      <c r="N10" s="199"/>
      <c r="O10" s="171"/>
    </row>
    <row r="11" spans="1:15" ht="38.25" customHeight="1">
      <c r="A11" s="138"/>
      <c r="B11" s="225"/>
      <c r="C11" s="226"/>
      <c r="D11" s="188"/>
      <c r="E11" s="188"/>
      <c r="F11" s="171"/>
      <c r="G11" s="205"/>
      <c r="H11" s="116"/>
      <c r="I11" s="20" t="str">
        <f>IF(G11="","",G11*$H$9)</f>
        <v/>
      </c>
      <c r="J11" s="171"/>
      <c r="K11" s="171"/>
      <c r="L11" s="171"/>
      <c r="M11" s="199"/>
      <c r="N11" s="199"/>
      <c r="O11" s="171"/>
    </row>
    <row r="12" spans="1:15" ht="38.25" customHeight="1">
      <c r="A12" s="138"/>
      <c r="B12" s="225"/>
      <c r="C12" s="226"/>
      <c r="D12" s="188"/>
      <c r="E12" s="188"/>
      <c r="F12" s="171"/>
      <c r="G12" s="205"/>
      <c r="H12" s="116"/>
      <c r="I12" s="20" t="str">
        <f>IF(G12="","",G12*$H$9)</f>
        <v/>
      </c>
      <c r="J12" s="171"/>
      <c r="K12" s="171"/>
      <c r="L12" s="171"/>
      <c r="M12" s="199"/>
      <c r="N12" s="199"/>
      <c r="O12" s="171"/>
    </row>
    <row r="13" spans="1:15" ht="38.25" customHeight="1">
      <c r="A13" s="138"/>
      <c r="B13" s="227"/>
      <c r="C13" s="228"/>
      <c r="D13" s="192"/>
      <c r="E13" s="192"/>
      <c r="F13" s="172"/>
      <c r="G13" s="183"/>
      <c r="H13" s="117"/>
      <c r="I13" s="14" t="str">
        <f>IF(G13="","",G13*$H$9)</f>
        <v/>
      </c>
      <c r="J13" s="172"/>
      <c r="K13" s="172"/>
      <c r="L13" s="172"/>
      <c r="M13" s="200"/>
      <c r="N13" s="200"/>
      <c r="O13" s="172"/>
    </row>
    <row r="14" spans="1:15">
      <c r="A14" s="167" t="s">
        <v>14</v>
      </c>
      <c r="B14" s="168"/>
      <c r="C14" s="169"/>
      <c r="D14" s="24">
        <f>SUM(D9:D13)</f>
        <v>0</v>
      </c>
      <c r="E14" s="24">
        <f>SUM(E9:E13)</f>
        <v>0</v>
      </c>
      <c r="F14" s="24">
        <f>SUM(F9:F13)</f>
        <v>0</v>
      </c>
      <c r="G14" s="24">
        <f>SUM(G9:G13)</f>
        <v>0</v>
      </c>
      <c r="H14" s="3"/>
      <c r="I14" s="24">
        <f>SUM(I9:I13)</f>
        <v>0</v>
      </c>
      <c r="J14" s="24">
        <f>SUM(J9:J13)</f>
        <v>0</v>
      </c>
      <c r="K14" s="24">
        <f>SUM(K9:K13)</f>
        <v>0</v>
      </c>
      <c r="L14" s="24">
        <f>SUM(L9:L13)</f>
        <v>0</v>
      </c>
      <c r="M14" s="24">
        <f t="shared" ref="M14:O14" si="0">SUM(M9:M13)</f>
        <v>0</v>
      </c>
      <c r="N14" s="24">
        <f t="shared" ref="N14" si="1">SUM(N9:N13)</f>
        <v>0</v>
      </c>
      <c r="O14" s="24">
        <f t="shared" si="0"/>
        <v>0</v>
      </c>
    </row>
  </sheetData>
  <sheetProtection algorithmName="SHA-512" hashValue="LWv8QlkTWHeg2ewRdDYyn2FYQGdnUHcaGzWa4La5xKEW0vfFrfrk9cScqn+a0tvIcxuxsDpV0VNZ8v6SNv8ArA==" saltValue="yVXNV6qu5vzthBWyPAE62w==" spinCount="100000" sheet="1" objects="1" scenarios="1"/>
  <mergeCells count="17">
    <mergeCell ref="M9:M13"/>
    <mergeCell ref="O9:O13"/>
    <mergeCell ref="A9:A13"/>
    <mergeCell ref="H9:H13"/>
    <mergeCell ref="K9:K13"/>
    <mergeCell ref="N9:N13"/>
    <mergeCell ref="A14:C14"/>
    <mergeCell ref="L9:L13"/>
    <mergeCell ref="J9:J13"/>
    <mergeCell ref="D9:D13"/>
    <mergeCell ref="E9:E13"/>
    <mergeCell ref="F9:F13"/>
    <mergeCell ref="M1:O1"/>
    <mergeCell ref="M2:O2"/>
    <mergeCell ref="M3:O3"/>
    <mergeCell ref="M4:O4"/>
    <mergeCell ref="M5:O5"/>
  </mergeCells>
  <phoneticPr fontId="1"/>
  <pageMargins left="0.7" right="0.7" top="0.75" bottom="0.75" header="0.3" footer="0.3"/>
  <pageSetup paperSize="9" scale="37" orientation="portrait" r:id="rId1"/>
  <colBreaks count="1" manualBreakCount="1">
    <brk id="15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2139FD6-2E5B-47CD-91B3-8777096A45C6}">
          <x14:formula1>
            <xm:f>データリスト!$B$33:$B$34</xm:f>
          </x14:formula1>
          <xm:sqref>B9:B13</xm:sqref>
        </x14:dataValidation>
        <x14:dataValidation type="list" allowBlank="1" showInputMessage="1" showErrorMessage="1" xr:uid="{998E6AE9-340F-4AD9-9222-0672EFC1CE82}">
          <x14:formula1>
            <xm:f>データリスト!$A$2:$A$55</xm:f>
          </x14:formula1>
          <xm:sqref>M4:O4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FD01-FCBD-4806-9247-BC7ED27233B0}">
  <sheetPr codeName="Sheet14"/>
  <dimension ref="A1:O14"/>
  <sheetViews>
    <sheetView view="pageBreakPreview" zoomScale="80" zoomScaleNormal="70" zoomScaleSheetLayoutView="80" workbookViewId="0">
      <selection activeCell="B9" sqref="B9"/>
    </sheetView>
  </sheetViews>
  <sheetFormatPr defaultRowHeight="18"/>
  <cols>
    <col min="1" max="1" width="5.4140625" customWidth="1"/>
    <col min="2" max="2" width="26.08203125" bestFit="1" customWidth="1"/>
    <col min="3" max="3" width="25.4140625" customWidth="1"/>
    <col min="4" max="7" width="13" customWidth="1"/>
    <col min="8" max="8" width="5.9140625" customWidth="1"/>
    <col min="9" max="11" width="13" customWidth="1"/>
    <col min="12" max="15" width="15.5" customWidth="1"/>
  </cols>
  <sheetData>
    <row r="1" spans="1:15">
      <c r="A1" t="s">
        <v>187</v>
      </c>
      <c r="L1" s="9" t="s">
        <v>28</v>
      </c>
      <c r="M1" s="110"/>
      <c r="N1" s="110"/>
      <c r="O1" s="110"/>
    </row>
    <row r="2" spans="1:15">
      <c r="A2" s="6" t="s">
        <v>206</v>
      </c>
      <c r="L2" s="9" t="s">
        <v>29</v>
      </c>
      <c r="M2" s="111"/>
      <c r="N2" s="111"/>
      <c r="O2" s="111"/>
    </row>
    <row r="3" spans="1:15">
      <c r="L3" s="9" t="s">
        <v>30</v>
      </c>
      <c r="M3" s="111"/>
      <c r="N3" s="111"/>
      <c r="O3" s="111"/>
    </row>
    <row r="4" spans="1:15">
      <c r="A4" s="5" t="s">
        <v>3</v>
      </c>
      <c r="B4" s="5" t="s">
        <v>19</v>
      </c>
      <c r="C4" s="4"/>
      <c r="D4" s="4"/>
      <c r="E4" s="4"/>
      <c r="L4" s="9" t="s">
        <v>31</v>
      </c>
      <c r="M4" s="112"/>
      <c r="N4" s="112"/>
      <c r="O4" s="112"/>
    </row>
    <row r="5" spans="1:15">
      <c r="A5" s="4"/>
      <c r="B5" s="4"/>
      <c r="C5" s="4"/>
      <c r="D5" s="4"/>
      <c r="E5" s="4"/>
      <c r="L5" s="9" t="s">
        <v>32</v>
      </c>
      <c r="M5" s="111"/>
      <c r="N5" s="111"/>
      <c r="O5" s="111"/>
    </row>
    <row r="6" spans="1:15" ht="40" customHeight="1">
      <c r="D6" s="55" t="s">
        <v>142</v>
      </c>
      <c r="E6" s="55" t="s">
        <v>143</v>
      </c>
      <c r="F6" s="55" t="s">
        <v>144</v>
      </c>
      <c r="G6" s="55" t="s">
        <v>145</v>
      </c>
      <c r="H6" s="55"/>
      <c r="I6" s="47" t="s">
        <v>163</v>
      </c>
      <c r="J6" s="48" t="s">
        <v>164</v>
      </c>
      <c r="K6" s="55" t="s">
        <v>161</v>
      </c>
      <c r="L6" s="46" t="s">
        <v>165</v>
      </c>
      <c r="M6" s="46" t="s">
        <v>150</v>
      </c>
      <c r="N6" s="46" t="s">
        <v>197</v>
      </c>
      <c r="O6" s="46" t="s">
        <v>205</v>
      </c>
    </row>
    <row r="7" spans="1:15" s="1" customFormat="1" ht="57" customHeight="1">
      <c r="A7" s="94"/>
      <c r="B7" s="94" t="s">
        <v>2</v>
      </c>
      <c r="C7" s="94" t="s">
        <v>20</v>
      </c>
      <c r="D7" s="85" t="s">
        <v>141</v>
      </c>
      <c r="E7" s="94" t="s">
        <v>6</v>
      </c>
      <c r="F7" s="94" t="s">
        <v>7</v>
      </c>
      <c r="G7" s="94" t="s">
        <v>8</v>
      </c>
      <c r="H7" s="94" t="s">
        <v>10</v>
      </c>
      <c r="I7" s="94" t="s">
        <v>158</v>
      </c>
      <c r="J7" s="94" t="s">
        <v>159</v>
      </c>
      <c r="K7" s="85" t="s">
        <v>127</v>
      </c>
      <c r="L7" s="85" t="s">
        <v>193</v>
      </c>
      <c r="M7" s="85" t="s">
        <v>199</v>
      </c>
      <c r="N7" s="85" t="s">
        <v>200</v>
      </c>
      <c r="O7" s="85" t="s">
        <v>203</v>
      </c>
    </row>
    <row r="8" spans="1:15" s="1" customFormat="1" ht="18" customHeight="1">
      <c r="A8" s="95"/>
      <c r="B8" s="96"/>
      <c r="C8" s="96"/>
      <c r="D8" s="96" t="s">
        <v>191</v>
      </c>
      <c r="E8" s="96" t="s">
        <v>191</v>
      </c>
      <c r="F8" s="96" t="s">
        <v>191</v>
      </c>
      <c r="G8" s="96" t="s">
        <v>191</v>
      </c>
      <c r="H8" s="96"/>
      <c r="I8" s="96" t="s">
        <v>191</v>
      </c>
      <c r="J8" s="96" t="s">
        <v>191</v>
      </c>
      <c r="K8" s="96" t="s">
        <v>191</v>
      </c>
      <c r="L8" s="96" t="s">
        <v>191</v>
      </c>
      <c r="M8" s="90" t="s">
        <v>191</v>
      </c>
      <c r="N8" s="90" t="s">
        <v>191</v>
      </c>
      <c r="O8" s="97" t="s">
        <v>191</v>
      </c>
    </row>
    <row r="9" spans="1:15" ht="38.25" customHeight="1">
      <c r="A9" s="138" t="s">
        <v>19</v>
      </c>
      <c r="B9" s="80" t="s">
        <v>126</v>
      </c>
      <c r="C9" s="65" t="s">
        <v>185</v>
      </c>
      <c r="D9" s="134">
        <v>50000</v>
      </c>
      <c r="E9" s="134">
        <v>0</v>
      </c>
      <c r="F9" s="170">
        <f>IF(E9="","",D9-E9)</f>
        <v>50000</v>
      </c>
      <c r="G9" s="57">
        <v>50000</v>
      </c>
      <c r="H9" s="133">
        <v>0.75</v>
      </c>
      <c r="I9" s="19">
        <f>IF(G9="","",G9*$H$9)</f>
        <v>37500</v>
      </c>
      <c r="J9" s="170">
        <f>IF(F9="","",ROUNDDOWN(SUM(I9:I13),-3))</f>
        <v>37000</v>
      </c>
      <c r="K9" s="170">
        <f>IF(J9="","",450000)</f>
        <v>450000</v>
      </c>
      <c r="L9" s="170">
        <f>IF(K9="","",ROUNDDOWN(MIN(F9,J9,K9),-3))</f>
        <v>37000</v>
      </c>
      <c r="M9" s="161">
        <v>35000</v>
      </c>
      <c r="N9" s="161">
        <v>0</v>
      </c>
      <c r="O9" s="170">
        <f>IF(M9="","",IF(L9&gt;M9,M9-N9,L9-N9))</f>
        <v>35000</v>
      </c>
    </row>
    <row r="10" spans="1:15" ht="38.25" customHeight="1">
      <c r="A10" s="138"/>
      <c r="B10" s="81"/>
      <c r="C10" s="82"/>
      <c r="D10" s="128"/>
      <c r="E10" s="128"/>
      <c r="F10" s="171"/>
      <c r="G10" s="75"/>
      <c r="H10" s="116"/>
      <c r="I10" s="20" t="str">
        <f>IF(G10="","",G10*$H$9)</f>
        <v/>
      </c>
      <c r="J10" s="171"/>
      <c r="K10" s="171"/>
      <c r="L10" s="171"/>
      <c r="M10" s="162"/>
      <c r="N10" s="162"/>
      <c r="O10" s="171"/>
    </row>
    <row r="11" spans="1:15" ht="38.25" customHeight="1">
      <c r="A11" s="138"/>
      <c r="B11" s="81"/>
      <c r="C11" s="82"/>
      <c r="D11" s="128"/>
      <c r="E11" s="128"/>
      <c r="F11" s="171"/>
      <c r="G11" s="75"/>
      <c r="H11" s="116"/>
      <c r="I11" s="20" t="str">
        <f>IF(G11="","",G11*$H$9)</f>
        <v/>
      </c>
      <c r="J11" s="171"/>
      <c r="K11" s="171"/>
      <c r="L11" s="171"/>
      <c r="M11" s="162"/>
      <c r="N11" s="162"/>
      <c r="O11" s="171"/>
    </row>
    <row r="12" spans="1:15" ht="38.25" customHeight="1">
      <c r="A12" s="138"/>
      <c r="B12" s="81"/>
      <c r="C12" s="82"/>
      <c r="D12" s="128"/>
      <c r="E12" s="128"/>
      <c r="F12" s="171"/>
      <c r="G12" s="75"/>
      <c r="H12" s="116"/>
      <c r="I12" s="20" t="str">
        <f>IF(G12="","",G12*$H$9)</f>
        <v/>
      </c>
      <c r="J12" s="171"/>
      <c r="K12" s="171"/>
      <c r="L12" s="171"/>
      <c r="M12" s="162"/>
      <c r="N12" s="162"/>
      <c r="O12" s="171"/>
    </row>
    <row r="13" spans="1:15" ht="38.25" customHeight="1">
      <c r="A13" s="138"/>
      <c r="B13" s="83"/>
      <c r="C13" s="84"/>
      <c r="D13" s="129"/>
      <c r="E13" s="129"/>
      <c r="F13" s="172"/>
      <c r="G13" s="78"/>
      <c r="H13" s="117"/>
      <c r="I13" s="50" t="str">
        <f>IF(G13="","",G13*$H$9)</f>
        <v/>
      </c>
      <c r="J13" s="172"/>
      <c r="K13" s="172"/>
      <c r="L13" s="172"/>
      <c r="M13" s="163"/>
      <c r="N13" s="163"/>
      <c r="O13" s="172"/>
    </row>
    <row r="14" spans="1:15">
      <c r="A14" s="167" t="s">
        <v>14</v>
      </c>
      <c r="B14" s="168"/>
      <c r="C14" s="169"/>
      <c r="D14" s="24">
        <f>SUM(D9:D13)</f>
        <v>50000</v>
      </c>
      <c r="E14" s="24">
        <f>SUM(E9:E13)</f>
        <v>0</v>
      </c>
      <c r="F14" s="24">
        <f>SUM(F9:F13)</f>
        <v>50000</v>
      </c>
      <c r="G14" s="24">
        <f>SUM(G9:G13)</f>
        <v>50000</v>
      </c>
      <c r="H14" s="3"/>
      <c r="I14" s="24">
        <f>SUM(I9:I13)</f>
        <v>37500</v>
      </c>
      <c r="J14" s="24">
        <f>SUM(J9:J13)</f>
        <v>37000</v>
      </c>
      <c r="K14" s="24">
        <f>SUM(K9:K13)</f>
        <v>450000</v>
      </c>
      <c r="L14" s="24">
        <f>SUM(L9:L13)</f>
        <v>37000</v>
      </c>
      <c r="M14" s="24">
        <f t="shared" ref="M14:O14" si="0">SUM(M9:M13)</f>
        <v>35000</v>
      </c>
      <c r="N14" s="24">
        <f t="shared" si="0"/>
        <v>0</v>
      </c>
      <c r="O14" s="24">
        <f t="shared" si="0"/>
        <v>35000</v>
      </c>
    </row>
  </sheetData>
  <mergeCells count="17">
    <mergeCell ref="O9:O13"/>
    <mergeCell ref="M1:O1"/>
    <mergeCell ref="M2:O2"/>
    <mergeCell ref="M3:O3"/>
    <mergeCell ref="M4:O4"/>
    <mergeCell ref="M5:O5"/>
    <mergeCell ref="N9:N13"/>
    <mergeCell ref="M9:M13"/>
    <mergeCell ref="J9:J13"/>
    <mergeCell ref="K9:K13"/>
    <mergeCell ref="L9:L13"/>
    <mergeCell ref="A14:C14"/>
    <mergeCell ref="A9:A13"/>
    <mergeCell ref="D9:D13"/>
    <mergeCell ref="E9:E13"/>
    <mergeCell ref="F9:F13"/>
    <mergeCell ref="H9:H13"/>
  </mergeCells>
  <phoneticPr fontId="1"/>
  <pageMargins left="0.7" right="0.7" top="0.75" bottom="0.75" header="0.3" footer="0.3"/>
  <pageSetup paperSize="9" scale="37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4B6451E-734A-48A5-8C2D-B4F72D9C7558}">
          <x14:formula1>
            <xm:f>データリスト!$B$33:$B$34</xm:f>
          </x14:formula1>
          <xm:sqref>B9:B13</xm:sqref>
        </x14:dataValidation>
        <x14:dataValidation type="list" allowBlank="1" showInputMessage="1" showErrorMessage="1" xr:uid="{767DDF3F-F1EC-44B6-8A39-AA09C67812EE}">
          <x14:formula1>
            <xm:f>データリスト!$A$2:$A$55</xm:f>
          </x14:formula1>
          <xm:sqref>M4:O4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E2256-C0A3-441E-858B-C18F9ED9AEE9}">
  <sheetPr codeName="Sheet15"/>
  <dimension ref="A1:U55"/>
  <sheetViews>
    <sheetView topLeftCell="C13" workbookViewId="0">
      <selection activeCell="S24" sqref="S24"/>
    </sheetView>
  </sheetViews>
  <sheetFormatPr defaultRowHeight="18"/>
  <cols>
    <col min="1" max="1" width="43.6640625" bestFit="1" customWidth="1"/>
    <col min="3" max="11" width="28.08203125" bestFit="1" customWidth="1"/>
    <col min="12" max="13" width="43.6640625" bestFit="1" customWidth="1"/>
    <col min="14" max="14" width="47.58203125" bestFit="1" customWidth="1"/>
    <col min="15" max="17" width="28.08203125" bestFit="1" customWidth="1"/>
    <col min="18" max="18" width="30" bestFit="1" customWidth="1"/>
    <col min="19" max="19" width="30" customWidth="1"/>
    <col min="20" max="21" width="28.08203125" bestFit="1" customWidth="1"/>
  </cols>
  <sheetData>
    <row r="1" spans="1:19">
      <c r="A1" s="10" t="s">
        <v>40</v>
      </c>
      <c r="B1" s="10" t="s">
        <v>67</v>
      </c>
    </row>
    <row r="2" spans="1:19">
      <c r="A2" t="s">
        <v>34</v>
      </c>
      <c r="B2" s="11" t="s">
        <v>68</v>
      </c>
      <c r="C2" s="11" t="s">
        <v>70</v>
      </c>
      <c r="D2" s="11" t="s">
        <v>71</v>
      </c>
      <c r="E2" s="11" t="s">
        <v>72</v>
      </c>
      <c r="F2" s="11" t="s">
        <v>73</v>
      </c>
      <c r="G2" s="11" t="s">
        <v>74</v>
      </c>
      <c r="H2" s="11" t="s">
        <v>75</v>
      </c>
      <c r="I2" s="11" t="s">
        <v>76</v>
      </c>
      <c r="J2" s="11" t="s">
        <v>77</v>
      </c>
      <c r="K2" s="11" t="s">
        <v>78</v>
      </c>
      <c r="L2" s="11" t="s">
        <v>79</v>
      </c>
      <c r="M2" s="11" t="s">
        <v>80</v>
      </c>
      <c r="N2" s="11" t="s">
        <v>81</v>
      </c>
      <c r="O2" s="11" t="s">
        <v>22</v>
      </c>
      <c r="P2" s="11" t="s">
        <v>82</v>
      </c>
      <c r="Q2" s="11" t="s">
        <v>83</v>
      </c>
      <c r="R2" s="11" t="s">
        <v>84</v>
      </c>
      <c r="S2" s="179"/>
    </row>
    <row r="3" spans="1:19">
      <c r="A3" t="s">
        <v>35</v>
      </c>
      <c r="B3" s="173" t="s">
        <v>69</v>
      </c>
      <c r="C3" s="2" t="s">
        <v>120</v>
      </c>
      <c r="D3" s="2" t="s">
        <v>120</v>
      </c>
      <c r="E3" s="2" t="s">
        <v>120</v>
      </c>
      <c r="F3" s="2" t="s">
        <v>120</v>
      </c>
      <c r="G3" s="2" t="s">
        <v>120</v>
      </c>
      <c r="H3" s="2" t="s">
        <v>120</v>
      </c>
      <c r="I3" s="2" t="s">
        <v>120</v>
      </c>
      <c r="J3" s="2" t="s">
        <v>120</v>
      </c>
      <c r="K3" s="2" t="s">
        <v>120</v>
      </c>
      <c r="L3" s="2" t="s">
        <v>120</v>
      </c>
      <c r="M3" s="2" t="s">
        <v>120</v>
      </c>
      <c r="N3" s="2" t="s">
        <v>120</v>
      </c>
      <c r="O3" s="2" t="s">
        <v>120</v>
      </c>
      <c r="P3" s="2" t="s">
        <v>120</v>
      </c>
      <c r="Q3" s="2" t="s">
        <v>120</v>
      </c>
      <c r="R3" s="2" t="s">
        <v>120</v>
      </c>
      <c r="S3" s="4"/>
    </row>
    <row r="4" spans="1:19">
      <c r="A4" t="s">
        <v>36</v>
      </c>
      <c r="B4" s="174"/>
      <c r="C4" s="2" t="s">
        <v>121</v>
      </c>
      <c r="D4" s="2" t="s">
        <v>121</v>
      </c>
      <c r="E4" s="2" t="s">
        <v>121</v>
      </c>
      <c r="F4" s="2" t="s">
        <v>121</v>
      </c>
      <c r="G4" s="2" t="s">
        <v>121</v>
      </c>
      <c r="H4" s="2" t="s">
        <v>121</v>
      </c>
      <c r="I4" s="2" t="s">
        <v>121</v>
      </c>
      <c r="J4" s="2" t="s">
        <v>121</v>
      </c>
      <c r="K4" s="2" t="s">
        <v>121</v>
      </c>
      <c r="L4" s="2" t="s">
        <v>121</v>
      </c>
      <c r="M4" s="2" t="s">
        <v>121</v>
      </c>
      <c r="N4" s="2" t="s">
        <v>121</v>
      </c>
      <c r="O4" s="2" t="s">
        <v>121</v>
      </c>
      <c r="P4" s="2" t="s">
        <v>121</v>
      </c>
      <c r="Q4" s="2" t="s">
        <v>121</v>
      </c>
      <c r="R4" s="2" t="s">
        <v>121</v>
      </c>
      <c r="S4" s="4"/>
    </row>
    <row r="5" spans="1:19">
      <c r="A5" t="s">
        <v>37</v>
      </c>
      <c r="B5" s="174"/>
      <c r="C5" s="2" t="s">
        <v>122</v>
      </c>
      <c r="D5" s="2" t="s">
        <v>122</v>
      </c>
      <c r="E5" s="2" t="s">
        <v>122</v>
      </c>
      <c r="F5" s="2" t="s">
        <v>122</v>
      </c>
      <c r="G5" s="2" t="s">
        <v>122</v>
      </c>
      <c r="H5" s="2" t="s">
        <v>122</v>
      </c>
      <c r="I5" s="2" t="s">
        <v>122</v>
      </c>
      <c r="J5" s="2" t="s">
        <v>122</v>
      </c>
      <c r="K5" s="2" t="s">
        <v>122</v>
      </c>
      <c r="L5" s="2" t="s">
        <v>122</v>
      </c>
      <c r="M5" s="2" t="s">
        <v>122</v>
      </c>
      <c r="N5" s="2" t="s">
        <v>122</v>
      </c>
      <c r="O5" s="2" t="s">
        <v>122</v>
      </c>
      <c r="P5" s="2" t="s">
        <v>122</v>
      </c>
      <c r="Q5" s="2" t="s">
        <v>122</v>
      </c>
      <c r="R5" s="2" t="s">
        <v>122</v>
      </c>
      <c r="S5" s="4"/>
    </row>
    <row r="6" spans="1:19">
      <c r="A6" t="s">
        <v>38</v>
      </c>
      <c r="B6" s="174"/>
      <c r="C6" s="2" t="s">
        <v>123</v>
      </c>
      <c r="D6" s="2" t="s">
        <v>123</v>
      </c>
      <c r="E6" s="2" t="s">
        <v>123</v>
      </c>
      <c r="F6" s="2" t="s">
        <v>123</v>
      </c>
      <c r="G6" s="2" t="s">
        <v>123</v>
      </c>
      <c r="H6" s="2" t="s">
        <v>123</v>
      </c>
      <c r="I6" s="2" t="s">
        <v>123</v>
      </c>
      <c r="J6" s="2" t="s">
        <v>123</v>
      </c>
      <c r="K6" s="2" t="s">
        <v>123</v>
      </c>
      <c r="L6" s="2" t="s">
        <v>123</v>
      </c>
      <c r="M6" s="2" t="s">
        <v>123</v>
      </c>
      <c r="N6" s="2" t="s">
        <v>123</v>
      </c>
      <c r="O6" s="2" t="s">
        <v>123</v>
      </c>
      <c r="P6" s="2" t="s">
        <v>123</v>
      </c>
      <c r="Q6" s="2" t="s">
        <v>123</v>
      </c>
      <c r="R6" s="2" t="s">
        <v>123</v>
      </c>
      <c r="S6" s="4"/>
    </row>
    <row r="7" spans="1:19">
      <c r="A7" t="s">
        <v>39</v>
      </c>
      <c r="B7" s="174"/>
      <c r="C7" s="2" t="s">
        <v>97</v>
      </c>
      <c r="D7" s="2" t="s">
        <v>97</v>
      </c>
      <c r="E7" s="2" t="s">
        <v>97</v>
      </c>
      <c r="F7" s="2" t="s">
        <v>97</v>
      </c>
      <c r="G7" s="2" t="s">
        <v>97</v>
      </c>
      <c r="H7" s="2" t="s">
        <v>97</v>
      </c>
      <c r="I7" s="2" t="s">
        <v>97</v>
      </c>
      <c r="J7" s="2" t="s">
        <v>97</v>
      </c>
      <c r="K7" s="2" t="s">
        <v>97</v>
      </c>
      <c r="L7" s="2" t="s">
        <v>97</v>
      </c>
      <c r="M7" s="2" t="s">
        <v>97</v>
      </c>
      <c r="N7" s="2" t="s">
        <v>97</v>
      </c>
      <c r="O7" s="2" t="s">
        <v>97</v>
      </c>
      <c r="P7" s="2" t="s">
        <v>97</v>
      </c>
      <c r="Q7" s="2" t="s">
        <v>97</v>
      </c>
      <c r="R7" s="2" t="s">
        <v>97</v>
      </c>
      <c r="S7" s="4"/>
    </row>
    <row r="8" spans="1:19">
      <c r="A8" t="s">
        <v>41</v>
      </c>
      <c r="B8" s="174"/>
      <c r="C8" s="2" t="s">
        <v>124</v>
      </c>
      <c r="D8" s="2" t="s">
        <v>124</v>
      </c>
      <c r="E8" s="2" t="s">
        <v>124</v>
      </c>
      <c r="F8" s="2" t="s">
        <v>124</v>
      </c>
      <c r="G8" s="2" t="s">
        <v>124</v>
      </c>
      <c r="H8" s="2" t="s">
        <v>124</v>
      </c>
      <c r="I8" s="2" t="s">
        <v>124</v>
      </c>
      <c r="J8" s="2" t="s">
        <v>124</v>
      </c>
      <c r="K8" s="2" t="s">
        <v>124</v>
      </c>
      <c r="L8" s="2" t="s">
        <v>124</v>
      </c>
      <c r="M8" s="2" t="s">
        <v>124</v>
      </c>
      <c r="N8" s="2" t="s">
        <v>124</v>
      </c>
      <c r="O8" s="2" t="s">
        <v>124</v>
      </c>
      <c r="P8" s="2" t="s">
        <v>124</v>
      </c>
      <c r="Q8" s="2" t="s">
        <v>124</v>
      </c>
      <c r="R8" s="2" t="s">
        <v>124</v>
      </c>
      <c r="S8" s="4"/>
    </row>
    <row r="9" spans="1:19">
      <c r="A9" t="s">
        <v>42</v>
      </c>
      <c r="B9" s="174"/>
      <c r="C9" s="2" t="s">
        <v>125</v>
      </c>
      <c r="D9" s="2" t="s">
        <v>125</v>
      </c>
      <c r="E9" s="2" t="s">
        <v>125</v>
      </c>
      <c r="F9" s="2" t="s">
        <v>125</v>
      </c>
      <c r="G9" s="2" t="s">
        <v>125</v>
      </c>
      <c r="H9" s="2" t="s">
        <v>125</v>
      </c>
      <c r="I9" s="2" t="s">
        <v>125</v>
      </c>
      <c r="J9" s="2" t="s">
        <v>125</v>
      </c>
      <c r="K9" s="2" t="s">
        <v>125</v>
      </c>
      <c r="L9" s="2" t="s">
        <v>125</v>
      </c>
      <c r="M9" s="2" t="s">
        <v>125</v>
      </c>
      <c r="N9" s="2" t="s">
        <v>125</v>
      </c>
      <c r="O9" s="2" t="s">
        <v>125</v>
      </c>
      <c r="P9" s="2" t="s">
        <v>125</v>
      </c>
      <c r="Q9" s="2" t="s">
        <v>125</v>
      </c>
      <c r="R9" s="2" t="s">
        <v>125</v>
      </c>
      <c r="S9" s="4"/>
    </row>
    <row r="10" spans="1:19">
      <c r="A10" t="s">
        <v>43</v>
      </c>
      <c r="B10" s="175"/>
      <c r="C10" s="2" t="s">
        <v>119</v>
      </c>
      <c r="D10" s="2" t="s">
        <v>119</v>
      </c>
      <c r="E10" s="2" t="s">
        <v>119</v>
      </c>
      <c r="F10" s="2" t="s">
        <v>119</v>
      </c>
      <c r="G10" s="2" t="s">
        <v>119</v>
      </c>
      <c r="H10" s="2" t="s">
        <v>119</v>
      </c>
      <c r="I10" s="2" t="s">
        <v>119</v>
      </c>
      <c r="J10" s="2" t="s">
        <v>119</v>
      </c>
      <c r="K10" s="2" t="s">
        <v>119</v>
      </c>
      <c r="L10" s="2" t="s">
        <v>119</v>
      </c>
      <c r="M10" s="2" t="s">
        <v>119</v>
      </c>
      <c r="N10" s="2" t="s">
        <v>119</v>
      </c>
      <c r="O10" s="2" t="s">
        <v>119</v>
      </c>
      <c r="P10" s="2" t="s">
        <v>119</v>
      </c>
      <c r="Q10" s="2" t="s">
        <v>119</v>
      </c>
      <c r="R10" s="2" t="s">
        <v>119</v>
      </c>
      <c r="S10" s="4"/>
    </row>
    <row r="11" spans="1:19">
      <c r="A11" t="s">
        <v>44</v>
      </c>
      <c r="B11" s="12"/>
    </row>
    <row r="12" spans="1:19">
      <c r="A12" t="s">
        <v>45</v>
      </c>
      <c r="B12" s="10" t="s">
        <v>86</v>
      </c>
    </row>
    <row r="13" spans="1:19">
      <c r="A13" t="s">
        <v>46</v>
      </c>
      <c r="B13" t="s">
        <v>92</v>
      </c>
    </row>
    <row r="14" spans="1:19">
      <c r="A14" t="s">
        <v>47</v>
      </c>
      <c r="B14" t="s">
        <v>87</v>
      </c>
    </row>
    <row r="15" spans="1:19">
      <c r="A15" t="s">
        <v>48</v>
      </c>
      <c r="B15" t="s">
        <v>88</v>
      </c>
    </row>
    <row r="16" spans="1:19">
      <c r="A16" t="s">
        <v>49</v>
      </c>
      <c r="B16" t="s">
        <v>93</v>
      </c>
    </row>
    <row r="17" spans="1:21">
      <c r="A17" t="s">
        <v>50</v>
      </c>
      <c r="B17" t="s">
        <v>89</v>
      </c>
    </row>
    <row r="18" spans="1:21">
      <c r="A18" t="s">
        <v>51</v>
      </c>
      <c r="B18" t="s">
        <v>90</v>
      </c>
    </row>
    <row r="19" spans="1:21">
      <c r="A19" t="s">
        <v>52</v>
      </c>
      <c r="B19" t="s">
        <v>91</v>
      </c>
    </row>
    <row r="20" spans="1:21">
      <c r="A20" t="s">
        <v>53</v>
      </c>
      <c r="B20" t="s">
        <v>85</v>
      </c>
    </row>
    <row r="21" spans="1:21">
      <c r="A21" t="s">
        <v>54</v>
      </c>
    </row>
    <row r="22" spans="1:21">
      <c r="A22" t="s">
        <v>55</v>
      </c>
      <c r="B22" t="s">
        <v>94</v>
      </c>
    </row>
    <row r="23" spans="1:21">
      <c r="A23" t="s">
        <v>56</v>
      </c>
      <c r="B23" s="11" t="s">
        <v>68</v>
      </c>
      <c r="C23" s="11" t="s">
        <v>70</v>
      </c>
      <c r="D23" s="11" t="s">
        <v>71</v>
      </c>
      <c r="E23" s="11" t="s">
        <v>72</v>
      </c>
      <c r="F23" s="11" t="s">
        <v>73</v>
      </c>
      <c r="G23" s="11" t="s">
        <v>74</v>
      </c>
      <c r="H23" s="11" t="s">
        <v>75</v>
      </c>
      <c r="I23" s="11" t="s">
        <v>76</v>
      </c>
      <c r="J23" s="11" t="s">
        <v>77</v>
      </c>
      <c r="K23" s="11" t="s">
        <v>78</v>
      </c>
      <c r="L23" s="11" t="s">
        <v>79</v>
      </c>
      <c r="M23" s="11" t="s">
        <v>80</v>
      </c>
      <c r="N23" s="11" t="s">
        <v>81</v>
      </c>
      <c r="O23" s="11" t="s">
        <v>22</v>
      </c>
      <c r="P23" s="11" t="s">
        <v>82</v>
      </c>
      <c r="Q23" s="11" t="s">
        <v>83</v>
      </c>
      <c r="R23" s="11" t="s">
        <v>84</v>
      </c>
      <c r="S23" s="11" t="s">
        <v>209</v>
      </c>
      <c r="T23" s="11" t="s">
        <v>95</v>
      </c>
      <c r="U23" s="11" t="s">
        <v>96</v>
      </c>
    </row>
    <row r="24" spans="1:21">
      <c r="A24" t="s">
        <v>57</v>
      </c>
      <c r="B24" s="173" t="s">
        <v>98</v>
      </c>
      <c r="C24" s="2" t="s">
        <v>120</v>
      </c>
      <c r="D24" s="2" t="s">
        <v>120</v>
      </c>
      <c r="E24" s="2" t="s">
        <v>120</v>
      </c>
      <c r="F24" s="2" t="s">
        <v>120</v>
      </c>
      <c r="G24" s="2" t="s">
        <v>120</v>
      </c>
      <c r="H24" s="2" t="s">
        <v>120</v>
      </c>
      <c r="I24" s="2" t="s">
        <v>120</v>
      </c>
      <c r="J24" s="2" t="s">
        <v>120</v>
      </c>
      <c r="K24" s="2" t="s">
        <v>120</v>
      </c>
      <c r="L24" s="2" t="s">
        <v>120</v>
      </c>
      <c r="M24" s="2" t="s">
        <v>120</v>
      </c>
      <c r="N24" s="2" t="s">
        <v>120</v>
      </c>
      <c r="O24" s="2" t="s">
        <v>120</v>
      </c>
      <c r="P24" s="2" t="s">
        <v>120</v>
      </c>
      <c r="Q24" s="2" t="s">
        <v>120</v>
      </c>
      <c r="R24" s="2" t="s">
        <v>120</v>
      </c>
      <c r="S24" s="2"/>
      <c r="T24" s="2" t="s">
        <v>120</v>
      </c>
      <c r="U24" s="2" t="s">
        <v>120</v>
      </c>
    </row>
    <row r="25" spans="1:21">
      <c r="A25" t="s">
        <v>58</v>
      </c>
      <c r="B25" s="174"/>
      <c r="C25" s="2" t="s">
        <v>121</v>
      </c>
      <c r="D25" s="2" t="s">
        <v>121</v>
      </c>
      <c r="E25" s="2" t="s">
        <v>121</v>
      </c>
      <c r="F25" s="2" t="s">
        <v>121</v>
      </c>
      <c r="G25" s="2" t="s">
        <v>121</v>
      </c>
      <c r="H25" s="2" t="s">
        <v>121</v>
      </c>
      <c r="I25" s="2" t="s">
        <v>121</v>
      </c>
      <c r="J25" s="2" t="s">
        <v>121</v>
      </c>
      <c r="K25" s="2" t="s">
        <v>121</v>
      </c>
      <c r="L25" s="2" t="s">
        <v>121</v>
      </c>
      <c r="M25" s="2" t="s">
        <v>121</v>
      </c>
      <c r="N25" s="2" t="s">
        <v>121</v>
      </c>
      <c r="O25" s="2" t="s">
        <v>121</v>
      </c>
      <c r="P25" s="2" t="s">
        <v>121</v>
      </c>
      <c r="Q25" s="2" t="s">
        <v>121</v>
      </c>
      <c r="R25" s="2" t="s">
        <v>121</v>
      </c>
      <c r="S25" s="2"/>
      <c r="T25" s="2" t="s">
        <v>121</v>
      </c>
      <c r="U25" s="2" t="s">
        <v>121</v>
      </c>
    </row>
    <row r="26" spans="1:21">
      <c r="A26" t="s">
        <v>59</v>
      </c>
      <c r="B26" s="174"/>
      <c r="C26" s="2" t="s">
        <v>122</v>
      </c>
      <c r="D26" s="2" t="s">
        <v>122</v>
      </c>
      <c r="E26" s="2" t="s">
        <v>122</v>
      </c>
      <c r="F26" s="2" t="s">
        <v>122</v>
      </c>
      <c r="G26" s="2" t="s">
        <v>122</v>
      </c>
      <c r="H26" s="2" t="s">
        <v>122</v>
      </c>
      <c r="I26" s="2" t="s">
        <v>122</v>
      </c>
      <c r="J26" s="2" t="s">
        <v>122</v>
      </c>
      <c r="K26" s="2" t="s">
        <v>122</v>
      </c>
      <c r="L26" s="2" t="s">
        <v>122</v>
      </c>
      <c r="M26" s="2" t="s">
        <v>122</v>
      </c>
      <c r="N26" s="2" t="s">
        <v>122</v>
      </c>
      <c r="O26" s="2" t="s">
        <v>122</v>
      </c>
      <c r="P26" s="2" t="s">
        <v>122</v>
      </c>
      <c r="Q26" s="2" t="s">
        <v>122</v>
      </c>
      <c r="R26" s="2" t="s">
        <v>122</v>
      </c>
      <c r="S26" s="2"/>
      <c r="T26" s="2" t="s">
        <v>122</v>
      </c>
      <c r="U26" s="2" t="s">
        <v>122</v>
      </c>
    </row>
    <row r="27" spans="1:21">
      <c r="A27" t="s">
        <v>60</v>
      </c>
      <c r="B27" s="174"/>
      <c r="C27" s="2" t="s">
        <v>123</v>
      </c>
      <c r="D27" s="2" t="s">
        <v>123</v>
      </c>
      <c r="E27" s="2" t="s">
        <v>123</v>
      </c>
      <c r="F27" s="2" t="s">
        <v>123</v>
      </c>
      <c r="G27" s="2" t="s">
        <v>123</v>
      </c>
      <c r="H27" s="2" t="s">
        <v>123</v>
      </c>
      <c r="I27" s="2" t="s">
        <v>123</v>
      </c>
      <c r="J27" s="2" t="s">
        <v>123</v>
      </c>
      <c r="K27" s="2" t="s">
        <v>123</v>
      </c>
      <c r="L27" s="2" t="s">
        <v>123</v>
      </c>
      <c r="M27" s="2" t="s">
        <v>123</v>
      </c>
      <c r="N27" s="2" t="s">
        <v>123</v>
      </c>
      <c r="O27" s="2" t="s">
        <v>123</v>
      </c>
      <c r="P27" s="2" t="s">
        <v>123</v>
      </c>
      <c r="Q27" s="2" t="s">
        <v>123</v>
      </c>
      <c r="R27" s="2" t="s">
        <v>123</v>
      </c>
      <c r="S27" s="2"/>
      <c r="T27" s="2" t="s">
        <v>123</v>
      </c>
      <c r="U27" s="2" t="s">
        <v>123</v>
      </c>
    </row>
    <row r="28" spans="1:21">
      <c r="A28" t="s">
        <v>61</v>
      </c>
      <c r="B28" s="174"/>
      <c r="C28" s="2" t="s">
        <v>97</v>
      </c>
      <c r="D28" s="2" t="s">
        <v>97</v>
      </c>
      <c r="E28" s="2" t="s">
        <v>97</v>
      </c>
      <c r="F28" s="2" t="s">
        <v>97</v>
      </c>
      <c r="G28" s="2" t="s">
        <v>97</v>
      </c>
      <c r="H28" s="2" t="s">
        <v>97</v>
      </c>
      <c r="I28" s="2" t="s">
        <v>97</v>
      </c>
      <c r="J28" s="2" t="s">
        <v>97</v>
      </c>
      <c r="K28" s="2" t="s">
        <v>97</v>
      </c>
      <c r="L28" s="2" t="s">
        <v>97</v>
      </c>
      <c r="M28" s="2" t="s">
        <v>97</v>
      </c>
      <c r="N28" s="2" t="s">
        <v>97</v>
      </c>
      <c r="O28" s="2" t="s">
        <v>97</v>
      </c>
      <c r="P28" s="2" t="s">
        <v>97</v>
      </c>
      <c r="Q28" s="2" t="s">
        <v>97</v>
      </c>
      <c r="R28" s="2" t="s">
        <v>97</v>
      </c>
      <c r="S28" s="2"/>
      <c r="T28" s="2" t="s">
        <v>97</v>
      </c>
      <c r="U28" s="2" t="s">
        <v>97</v>
      </c>
    </row>
    <row r="29" spans="1:21">
      <c r="A29" t="s">
        <v>62</v>
      </c>
      <c r="B29" s="174"/>
      <c r="C29" s="2" t="s">
        <v>124</v>
      </c>
      <c r="D29" s="2" t="s">
        <v>124</v>
      </c>
      <c r="E29" s="2" t="s">
        <v>124</v>
      </c>
      <c r="F29" s="2" t="s">
        <v>124</v>
      </c>
      <c r="G29" s="2" t="s">
        <v>124</v>
      </c>
      <c r="H29" s="2" t="s">
        <v>124</v>
      </c>
      <c r="I29" s="2" t="s">
        <v>124</v>
      </c>
      <c r="J29" s="2" t="s">
        <v>124</v>
      </c>
      <c r="K29" s="2" t="s">
        <v>124</v>
      </c>
      <c r="L29" s="2" t="s">
        <v>124</v>
      </c>
      <c r="M29" s="2" t="s">
        <v>124</v>
      </c>
      <c r="N29" s="2" t="s">
        <v>124</v>
      </c>
      <c r="O29" s="2" t="s">
        <v>124</v>
      </c>
      <c r="P29" s="2" t="s">
        <v>124</v>
      </c>
      <c r="Q29" s="2" t="s">
        <v>124</v>
      </c>
      <c r="R29" s="2" t="s">
        <v>124</v>
      </c>
      <c r="S29" s="2"/>
      <c r="T29" s="2" t="s">
        <v>124</v>
      </c>
      <c r="U29" s="2" t="s">
        <v>124</v>
      </c>
    </row>
    <row r="30" spans="1:21">
      <c r="A30" t="s">
        <v>63</v>
      </c>
      <c r="B30" s="174"/>
      <c r="C30" s="2" t="s">
        <v>125</v>
      </c>
      <c r="D30" s="2" t="s">
        <v>125</v>
      </c>
      <c r="E30" s="2" t="s">
        <v>125</v>
      </c>
      <c r="F30" s="2" t="s">
        <v>125</v>
      </c>
      <c r="G30" s="2" t="s">
        <v>125</v>
      </c>
      <c r="H30" s="2" t="s">
        <v>125</v>
      </c>
      <c r="I30" s="2" t="s">
        <v>125</v>
      </c>
      <c r="J30" s="2" t="s">
        <v>125</v>
      </c>
      <c r="K30" s="2" t="s">
        <v>125</v>
      </c>
      <c r="L30" s="2" t="s">
        <v>125</v>
      </c>
      <c r="M30" s="2" t="s">
        <v>125</v>
      </c>
      <c r="N30" s="2" t="s">
        <v>125</v>
      </c>
      <c r="O30" s="2" t="s">
        <v>125</v>
      </c>
      <c r="P30" s="2" t="s">
        <v>125</v>
      </c>
      <c r="Q30" s="2" t="s">
        <v>125</v>
      </c>
      <c r="R30" s="2" t="s">
        <v>125</v>
      </c>
      <c r="S30" s="2"/>
      <c r="T30" s="2" t="s">
        <v>125</v>
      </c>
      <c r="U30" s="2" t="s">
        <v>125</v>
      </c>
    </row>
    <row r="31" spans="1:21">
      <c r="A31" t="s">
        <v>64</v>
      </c>
      <c r="B31" s="175"/>
      <c r="C31" s="2" t="s">
        <v>119</v>
      </c>
      <c r="D31" s="2" t="s">
        <v>119</v>
      </c>
      <c r="E31" s="2" t="s">
        <v>119</v>
      </c>
      <c r="F31" s="2" t="s">
        <v>119</v>
      </c>
      <c r="G31" s="2" t="s">
        <v>119</v>
      </c>
      <c r="H31" s="2" t="s">
        <v>119</v>
      </c>
      <c r="I31" s="2" t="s">
        <v>119</v>
      </c>
      <c r="J31" s="2" t="s">
        <v>119</v>
      </c>
      <c r="K31" s="2" t="s">
        <v>119</v>
      </c>
      <c r="L31" s="2" t="s">
        <v>119</v>
      </c>
      <c r="M31" s="2" t="s">
        <v>119</v>
      </c>
      <c r="N31" s="2" t="s">
        <v>119</v>
      </c>
      <c r="O31" s="2" t="s">
        <v>119</v>
      </c>
      <c r="P31" s="2" t="s">
        <v>119</v>
      </c>
      <c r="Q31" s="2" t="s">
        <v>119</v>
      </c>
      <c r="R31" s="2" t="s">
        <v>119</v>
      </c>
      <c r="S31" s="2"/>
      <c r="T31" s="2" t="s">
        <v>119</v>
      </c>
      <c r="U31" s="2" t="s">
        <v>119</v>
      </c>
    </row>
    <row r="32" spans="1:21">
      <c r="A32" t="s">
        <v>65</v>
      </c>
    </row>
    <row r="33" spans="1:2">
      <c r="A33" t="s">
        <v>66</v>
      </c>
      <c r="B33" t="s">
        <v>126</v>
      </c>
    </row>
    <row r="34" spans="1:2">
      <c r="A34" t="s">
        <v>99</v>
      </c>
    </row>
    <row r="35" spans="1:2">
      <c r="A35" t="s">
        <v>100</v>
      </c>
    </row>
    <row r="36" spans="1:2">
      <c r="A36" t="s">
        <v>101</v>
      </c>
    </row>
    <row r="37" spans="1:2">
      <c r="A37" t="s">
        <v>102</v>
      </c>
    </row>
    <row r="38" spans="1:2">
      <c r="A38" t="s">
        <v>103</v>
      </c>
    </row>
    <row r="39" spans="1:2">
      <c r="A39" t="s">
        <v>105</v>
      </c>
    </row>
    <row r="40" spans="1:2">
      <c r="A40" t="s">
        <v>104</v>
      </c>
    </row>
    <row r="41" spans="1:2">
      <c r="A41" t="s">
        <v>106</v>
      </c>
    </row>
    <row r="42" spans="1:2">
      <c r="A42" t="s">
        <v>107</v>
      </c>
    </row>
    <row r="43" spans="1:2">
      <c r="A43" t="s">
        <v>108</v>
      </c>
    </row>
    <row r="44" spans="1:2">
      <c r="A44" t="s">
        <v>109</v>
      </c>
    </row>
    <row r="45" spans="1:2">
      <c r="A45" t="s">
        <v>110</v>
      </c>
    </row>
    <row r="46" spans="1:2">
      <c r="A46" t="s">
        <v>111</v>
      </c>
    </row>
    <row r="47" spans="1:2">
      <c r="A47" t="s">
        <v>112</v>
      </c>
    </row>
    <row r="48" spans="1:2">
      <c r="A48" t="s">
        <v>113</v>
      </c>
    </row>
    <row r="49" spans="1:1">
      <c r="A49" t="s">
        <v>114</v>
      </c>
    </row>
    <row r="50" spans="1:1">
      <c r="A50" t="s">
        <v>115</v>
      </c>
    </row>
    <row r="51" spans="1:1">
      <c r="A51" t="s">
        <v>116</v>
      </c>
    </row>
    <row r="52" spans="1:1">
      <c r="A52" t="s">
        <v>117</v>
      </c>
    </row>
    <row r="53" spans="1:1">
      <c r="A53" t="s">
        <v>118</v>
      </c>
    </row>
    <row r="54" spans="1:1">
      <c r="A54" t="s">
        <v>207</v>
      </c>
    </row>
    <row r="55" spans="1:1">
      <c r="A55" t="s">
        <v>208</v>
      </c>
    </row>
  </sheetData>
  <mergeCells count="2">
    <mergeCell ref="B3:B10"/>
    <mergeCell ref="B24:B31"/>
  </mergeCells>
  <phoneticPr fontId="1"/>
  <conditionalFormatting sqref="A1:A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98199-67EC-4EE6-851B-56E4C23E049A}">
  <sheetPr codeName="Sheet4"/>
  <dimension ref="A1:W29"/>
  <sheetViews>
    <sheetView view="pageBreakPreview" topLeftCell="A7" zoomScale="75" zoomScaleNormal="70" zoomScaleSheetLayoutView="75" workbookViewId="0">
      <selection activeCell="S1" sqref="S1:U5"/>
    </sheetView>
  </sheetViews>
  <sheetFormatPr defaultColWidth="8.83203125" defaultRowHeight="18"/>
  <cols>
    <col min="1" max="1" width="5.4140625" style="6" customWidth="1"/>
    <col min="2" max="2" width="25.83203125" style="6" customWidth="1"/>
    <col min="3" max="3" width="26.08203125" style="6" bestFit="1" customWidth="1"/>
    <col min="4" max="4" width="10.4140625" style="6" customWidth="1"/>
    <col min="5" max="5" width="46.08203125" style="6" customWidth="1"/>
    <col min="6" max="6" width="6.83203125" style="6" bestFit="1" customWidth="1"/>
    <col min="7" max="9" width="13.58203125" style="6" customWidth="1"/>
    <col min="10" max="11" width="8.58203125" style="6" bestFit="1" customWidth="1"/>
    <col min="12" max="12" width="13" style="6" customWidth="1"/>
    <col min="13" max="13" width="21.4140625" style="6" customWidth="1"/>
    <col min="14" max="14" width="6.83203125" style="6" bestFit="1" customWidth="1"/>
    <col min="15" max="17" width="13.58203125" style="6" customWidth="1"/>
    <col min="18" max="21" width="14.33203125" style="6" customWidth="1"/>
    <col min="22" max="22" width="59.6640625" style="6" customWidth="1"/>
    <col min="23" max="23" width="5.6640625" style="6" customWidth="1"/>
    <col min="24" max="16384" width="8.83203125" style="6"/>
  </cols>
  <sheetData>
    <row r="1" spans="1:23">
      <c r="A1" s="6" t="s">
        <v>1</v>
      </c>
      <c r="N1" s="9"/>
      <c r="R1" s="9" t="s">
        <v>28</v>
      </c>
      <c r="S1" s="110"/>
      <c r="T1" s="110"/>
      <c r="U1" s="110"/>
    </row>
    <row r="2" spans="1:23">
      <c r="A2" s="6" t="s">
        <v>206</v>
      </c>
      <c r="N2" s="9"/>
      <c r="R2" s="9" t="s">
        <v>29</v>
      </c>
      <c r="S2" s="111"/>
      <c r="T2" s="111"/>
      <c r="U2" s="111"/>
    </row>
    <row r="3" spans="1:23">
      <c r="N3" s="9"/>
      <c r="R3" s="9" t="s">
        <v>30</v>
      </c>
      <c r="S3" s="111"/>
      <c r="T3" s="111"/>
      <c r="U3" s="111"/>
    </row>
    <row r="4" spans="1:23">
      <c r="A4" s="7" t="s">
        <v>3</v>
      </c>
      <c r="B4" s="7" t="s">
        <v>4</v>
      </c>
      <c r="C4" s="7"/>
      <c r="N4" s="9"/>
      <c r="R4" s="9" t="s">
        <v>31</v>
      </c>
      <c r="S4" s="112"/>
      <c r="T4" s="112"/>
      <c r="U4" s="112"/>
    </row>
    <row r="5" spans="1:23">
      <c r="N5" s="9"/>
      <c r="R5" s="9" t="s">
        <v>32</v>
      </c>
      <c r="S5" s="111"/>
      <c r="T5" s="111"/>
      <c r="U5" s="111"/>
    </row>
    <row r="6" spans="1:23" ht="40" customHeight="1">
      <c r="D6" s="99"/>
      <c r="G6" s="55" t="s">
        <v>142</v>
      </c>
      <c r="H6" s="55" t="s">
        <v>143</v>
      </c>
      <c r="I6" s="55" t="s">
        <v>144</v>
      </c>
      <c r="J6" s="55"/>
      <c r="K6" s="55" t="s">
        <v>145</v>
      </c>
      <c r="L6" s="55" t="s">
        <v>146</v>
      </c>
      <c r="M6" s="55" t="s">
        <v>147</v>
      </c>
      <c r="N6" s="55"/>
      <c r="O6" s="55" t="s">
        <v>148</v>
      </c>
      <c r="P6" s="55" t="s">
        <v>162</v>
      </c>
      <c r="Q6" s="55" t="s">
        <v>150</v>
      </c>
      <c r="R6" s="46" t="s">
        <v>160</v>
      </c>
      <c r="S6" s="55" t="s">
        <v>195</v>
      </c>
      <c r="T6" s="55" t="s">
        <v>201</v>
      </c>
      <c r="U6" s="46" t="s">
        <v>202</v>
      </c>
    </row>
    <row r="7" spans="1:23" s="1" customFormat="1" ht="54" customHeight="1">
      <c r="A7" s="85"/>
      <c r="B7" s="85" t="s">
        <v>2</v>
      </c>
      <c r="C7" s="85" t="s">
        <v>0</v>
      </c>
      <c r="D7" s="85" t="s">
        <v>130</v>
      </c>
      <c r="E7" s="85" t="s">
        <v>26</v>
      </c>
      <c r="F7" s="85" t="s">
        <v>13</v>
      </c>
      <c r="G7" s="85" t="s">
        <v>141</v>
      </c>
      <c r="H7" s="85" t="s">
        <v>128</v>
      </c>
      <c r="I7" s="85" t="s">
        <v>129</v>
      </c>
      <c r="J7" s="85" t="s">
        <v>11</v>
      </c>
      <c r="K7" s="85" t="s">
        <v>9</v>
      </c>
      <c r="L7" s="85" t="s">
        <v>135</v>
      </c>
      <c r="M7" s="85" t="s">
        <v>8</v>
      </c>
      <c r="N7" s="85" t="s">
        <v>10</v>
      </c>
      <c r="O7" s="85" t="s">
        <v>158</v>
      </c>
      <c r="P7" s="85" t="s">
        <v>159</v>
      </c>
      <c r="Q7" s="85" t="s">
        <v>127</v>
      </c>
      <c r="R7" s="85" t="s">
        <v>193</v>
      </c>
      <c r="S7" s="85" t="s">
        <v>199</v>
      </c>
      <c r="T7" s="85" t="s">
        <v>200</v>
      </c>
      <c r="U7" s="85" t="s">
        <v>203</v>
      </c>
    </row>
    <row r="8" spans="1:23" s="88" customFormat="1" ht="18" customHeight="1">
      <c r="A8" s="89"/>
      <c r="B8" s="89"/>
      <c r="C8" s="89"/>
      <c r="D8" s="89"/>
      <c r="E8" s="89"/>
      <c r="F8" s="90" t="s">
        <v>190</v>
      </c>
      <c r="G8" s="90" t="s">
        <v>191</v>
      </c>
      <c r="H8" s="90" t="s">
        <v>191</v>
      </c>
      <c r="I8" s="90" t="s">
        <v>191</v>
      </c>
      <c r="J8" s="90" t="s">
        <v>192</v>
      </c>
      <c r="K8" s="90" t="s">
        <v>192</v>
      </c>
      <c r="L8" s="90" t="s">
        <v>191</v>
      </c>
      <c r="M8" s="90" t="s">
        <v>191</v>
      </c>
      <c r="N8" s="90"/>
      <c r="O8" s="90" t="s">
        <v>191</v>
      </c>
      <c r="P8" s="90" t="s">
        <v>191</v>
      </c>
      <c r="Q8" s="90" t="s">
        <v>191</v>
      </c>
      <c r="R8" s="90" t="s">
        <v>191</v>
      </c>
      <c r="S8" s="90" t="s">
        <v>191</v>
      </c>
      <c r="T8" s="90" t="s">
        <v>191</v>
      </c>
      <c r="U8" s="97" t="s">
        <v>191</v>
      </c>
    </row>
    <row r="9" spans="1:23" ht="38.25" customHeight="1">
      <c r="A9" s="123" t="s">
        <v>12</v>
      </c>
      <c r="B9" s="86" t="s">
        <v>167</v>
      </c>
      <c r="C9" s="59" t="s">
        <v>168</v>
      </c>
      <c r="D9" s="100" t="s">
        <v>169</v>
      </c>
      <c r="E9" s="87" t="s">
        <v>125</v>
      </c>
      <c r="F9" s="128">
        <v>50</v>
      </c>
      <c r="G9" s="130">
        <v>5400000</v>
      </c>
      <c r="H9" s="130">
        <v>0</v>
      </c>
      <c r="I9" s="118">
        <f>IF(G9="","",G9-H9)</f>
        <v>5400000</v>
      </c>
      <c r="J9" s="114">
        <f>IF(F9="","",ROUNDUP(F9*0.2,0))</f>
        <v>10</v>
      </c>
      <c r="K9" s="59">
        <v>10</v>
      </c>
      <c r="L9" s="59">
        <v>200000</v>
      </c>
      <c r="M9" s="28">
        <f>IF(K9="","",IF($J$9&lt;K9,"台数上限を超えています",K9*L9))</f>
        <v>2000000</v>
      </c>
      <c r="N9" s="116">
        <v>0.75</v>
      </c>
      <c r="O9" s="28">
        <f>IF(M9="","",IF($J$9&lt;$K9,"",M9*$N$9))</f>
        <v>1500000</v>
      </c>
      <c r="P9" s="118">
        <f>IF(K9="","",IF($J$9&lt;K9,"",ROUNDDOWN(SUM(O9:O13),-3)))</f>
        <v>3800000</v>
      </c>
      <c r="Q9" s="114">
        <f>IF(P9="","",IF($J$9&lt;K9,"",IF(B9="",0,IF(OR(B9=データリスト!$C$2,B9=データリスト!$D$2,B9=データリスト!$K$2),'（記載例）所要額調書①'!K9*1000000,'（記載例）所要額調書①'!K9*300000))))</f>
        <v>3000000</v>
      </c>
      <c r="R9" s="114">
        <f>IF(Q9="","",IF($J$9&lt;K9,"",ROUNDDOWN(MIN(I9,P9,Q9),-3)))</f>
        <v>3000000</v>
      </c>
      <c r="S9" s="161">
        <v>14250000</v>
      </c>
      <c r="T9" s="161">
        <v>0</v>
      </c>
      <c r="U9" s="177">
        <f>IF(S9="","",IF(R24&gt;S9,S9-T9,R24-T9))</f>
        <v>14250000</v>
      </c>
      <c r="V9" s="6" t="str">
        <f>CONCATENATE(B9,E9)</f>
        <v>見守り・コミュニケーション（施設）超過勤務の削減</v>
      </c>
      <c r="W9" s="6">
        <f t="shared" ref="W9:W14" si="0">IF(V9="","",COUNTIF($V$9:$V$23,V9))</f>
        <v>1</v>
      </c>
    </row>
    <row r="10" spans="1:23" ht="38.25" customHeight="1">
      <c r="A10" s="124"/>
      <c r="B10" s="30" t="s">
        <v>131</v>
      </c>
      <c r="C10" s="59" t="s">
        <v>170</v>
      </c>
      <c r="D10" s="125"/>
      <c r="E10" s="125"/>
      <c r="F10" s="128"/>
      <c r="G10" s="130"/>
      <c r="H10" s="130"/>
      <c r="I10" s="118"/>
      <c r="J10" s="114"/>
      <c r="K10" s="59">
        <v>5</v>
      </c>
      <c r="L10" s="59">
        <v>100000</v>
      </c>
      <c r="M10" s="28">
        <f>IF(K10="","",K10*L10)</f>
        <v>500000</v>
      </c>
      <c r="N10" s="116"/>
      <c r="O10" s="28">
        <f>IF(M10="","",IF($J$9&lt;$K$9,"",IF(L10*$N$9&gt;100000,100000*K10,M10*$N$9)))</f>
        <v>375000</v>
      </c>
      <c r="P10" s="118"/>
      <c r="Q10" s="114"/>
      <c r="R10" s="114"/>
      <c r="S10" s="162"/>
      <c r="T10" s="162"/>
      <c r="U10" s="176"/>
    </row>
    <row r="11" spans="1:23" ht="38.25" customHeight="1">
      <c r="A11" s="124"/>
      <c r="B11" s="30" t="s">
        <v>132</v>
      </c>
      <c r="C11" s="59" t="s">
        <v>171</v>
      </c>
      <c r="D11" s="126"/>
      <c r="E11" s="126"/>
      <c r="F11" s="128"/>
      <c r="G11" s="130"/>
      <c r="H11" s="130"/>
      <c r="I11" s="118"/>
      <c r="J11" s="114"/>
      <c r="K11" s="59">
        <v>5</v>
      </c>
      <c r="L11" s="59">
        <v>80000</v>
      </c>
      <c r="M11" s="28">
        <f t="shared" ref="M11:M12" si="1">IF(K11="","",K11*L11)</f>
        <v>400000</v>
      </c>
      <c r="N11" s="116"/>
      <c r="O11" s="28">
        <f>IF(M11="","",IF($J$9&lt;$K$9,"",IF(L11*$N$9&gt;100000,100000*K11,M11*$N$9)))</f>
        <v>300000</v>
      </c>
      <c r="P11" s="118"/>
      <c r="Q11" s="114"/>
      <c r="R11" s="114"/>
      <c r="S11" s="162"/>
      <c r="T11" s="162"/>
      <c r="U11" s="176"/>
    </row>
    <row r="12" spans="1:23" ht="38.25" customHeight="1">
      <c r="A12" s="124"/>
      <c r="B12" s="30" t="s">
        <v>133</v>
      </c>
      <c r="C12" s="59" t="s">
        <v>172</v>
      </c>
      <c r="D12" s="126"/>
      <c r="E12" s="126"/>
      <c r="F12" s="128"/>
      <c r="G12" s="130"/>
      <c r="H12" s="130"/>
      <c r="I12" s="118"/>
      <c r="J12" s="114"/>
      <c r="K12" s="59">
        <v>5</v>
      </c>
      <c r="L12" s="59">
        <v>200000</v>
      </c>
      <c r="M12" s="28">
        <f t="shared" si="1"/>
        <v>1000000</v>
      </c>
      <c r="N12" s="116"/>
      <c r="O12" s="28">
        <f t="shared" ref="O12" si="2">IF(M12="","",IF($J$9&lt;$K$9,"",IF(L12*$N$9&gt;100000,100000*K12,M12*$N$9)))</f>
        <v>500000</v>
      </c>
      <c r="P12" s="118"/>
      <c r="Q12" s="114"/>
      <c r="R12" s="114"/>
      <c r="S12" s="162"/>
      <c r="T12" s="162"/>
      <c r="U12" s="176"/>
    </row>
    <row r="13" spans="1:23" ht="38.25" customHeight="1">
      <c r="A13" s="124"/>
      <c r="B13" s="29" t="s">
        <v>134</v>
      </c>
      <c r="C13" s="60" t="s">
        <v>173</v>
      </c>
      <c r="D13" s="127"/>
      <c r="E13" s="127"/>
      <c r="F13" s="128"/>
      <c r="G13" s="131"/>
      <c r="H13" s="131"/>
      <c r="I13" s="119"/>
      <c r="J13" s="114"/>
      <c r="K13" s="61"/>
      <c r="L13" s="60">
        <v>1500000</v>
      </c>
      <c r="M13" s="52">
        <f>IF(L13="","",L13)</f>
        <v>1500000</v>
      </c>
      <c r="N13" s="116"/>
      <c r="O13" s="52">
        <f>IF(M13="","",IF($J$9&lt;$K$9,"",M13*$N$9))</f>
        <v>1125000</v>
      </c>
      <c r="P13" s="119"/>
      <c r="Q13" s="115"/>
      <c r="R13" s="115"/>
      <c r="S13" s="162"/>
      <c r="T13" s="162"/>
      <c r="U13" s="176"/>
    </row>
    <row r="14" spans="1:23" ht="38.25" customHeight="1">
      <c r="A14" s="124"/>
      <c r="B14" s="56" t="s">
        <v>174</v>
      </c>
      <c r="C14" s="57" t="s">
        <v>175</v>
      </c>
      <c r="D14" s="101" t="s">
        <v>176</v>
      </c>
      <c r="E14" s="58" t="s">
        <v>122</v>
      </c>
      <c r="F14" s="128"/>
      <c r="G14" s="132">
        <v>12050000</v>
      </c>
      <c r="H14" s="132">
        <v>0</v>
      </c>
      <c r="I14" s="121">
        <f t="shared" ref="I14" si="3">IF(G14="","",G14-H14)</f>
        <v>12050000</v>
      </c>
      <c r="J14" s="114"/>
      <c r="K14" s="57">
        <v>10</v>
      </c>
      <c r="L14" s="57">
        <v>1200000</v>
      </c>
      <c r="M14" s="21">
        <f t="shared" ref="M14" si="4">IF(K14="","",IF($J$9&lt;K14,"台数上限を超えています",K14*L14))</f>
        <v>12000000</v>
      </c>
      <c r="N14" s="116"/>
      <c r="O14" s="21">
        <f t="shared" ref="O14" si="5">IF(M14="","",IF($J$9&lt;$K14,"",M14*$N$9))</f>
        <v>9000000</v>
      </c>
      <c r="P14" s="121">
        <f t="shared" ref="P14" si="6">IF(K14="","",IF($J$9&lt;K14,"",ROUNDDOWN(SUM(O14:O18),-3)))</f>
        <v>9037000</v>
      </c>
      <c r="Q14" s="120">
        <f>IF(P14="","",IF($J$9&lt;K14,"",IF(B14="",0,IF(OR(B14=データリスト!$C$2,B14=データリスト!$D$2,B14=データリスト!$K$2),'（記載例）所要額調書①'!K14*1000000,'（記載例）所要額調書①'!K14*300000))))</f>
        <v>10000000</v>
      </c>
      <c r="R14" s="120">
        <f t="shared" ref="R14" si="7">IF(Q14="","",IF($J$9&lt;K14,"",ROUNDDOWN(MIN(I14,P14,Q14),-3)))</f>
        <v>9037000</v>
      </c>
      <c r="S14" s="162"/>
      <c r="T14" s="162"/>
      <c r="U14" s="176"/>
      <c r="V14" s="6" t="str">
        <f>CONCATENATE(B14,E14)</f>
        <v>入浴支援職員の心理的負担の軽減</v>
      </c>
      <c r="W14" s="6">
        <f t="shared" si="0"/>
        <v>1</v>
      </c>
    </row>
    <row r="15" spans="1:23" ht="38.25" customHeight="1">
      <c r="A15" s="124"/>
      <c r="B15" s="30" t="s">
        <v>131</v>
      </c>
      <c r="C15" s="59"/>
      <c r="D15" s="125"/>
      <c r="E15" s="125"/>
      <c r="F15" s="128"/>
      <c r="G15" s="130"/>
      <c r="H15" s="130"/>
      <c r="I15" s="118"/>
      <c r="J15" s="114"/>
      <c r="K15" s="59"/>
      <c r="L15" s="59"/>
      <c r="M15" s="28" t="str">
        <f t="shared" ref="M15:M22" si="8">IF(K15="","",K15*L15)</f>
        <v/>
      </c>
      <c r="N15" s="116"/>
      <c r="O15" s="28" t="str">
        <f t="shared" ref="O15:O22" si="9">IF(M15="","",IF($J$9&lt;$K$9,"",IF(L15*$N$9&gt;100000,100000*K15,M15*$N$9)))</f>
        <v/>
      </c>
      <c r="P15" s="118"/>
      <c r="Q15" s="114"/>
      <c r="R15" s="114"/>
      <c r="S15" s="162"/>
      <c r="T15" s="162"/>
      <c r="U15" s="176"/>
    </row>
    <row r="16" spans="1:23" ht="38.25" customHeight="1">
      <c r="A16" s="124"/>
      <c r="B16" s="30" t="s">
        <v>132</v>
      </c>
      <c r="C16" s="59"/>
      <c r="D16" s="126"/>
      <c r="E16" s="126"/>
      <c r="F16" s="128"/>
      <c r="G16" s="130"/>
      <c r="H16" s="130"/>
      <c r="I16" s="118"/>
      <c r="J16" s="114"/>
      <c r="K16" s="59"/>
      <c r="L16" s="59"/>
      <c r="M16" s="28" t="str">
        <f t="shared" si="8"/>
        <v/>
      </c>
      <c r="N16" s="116"/>
      <c r="O16" s="28" t="str">
        <f t="shared" si="9"/>
        <v/>
      </c>
      <c r="P16" s="118"/>
      <c r="Q16" s="114"/>
      <c r="R16" s="114"/>
      <c r="S16" s="162"/>
      <c r="T16" s="162"/>
      <c r="U16" s="176"/>
    </row>
    <row r="17" spans="1:23" ht="38.25" customHeight="1">
      <c r="A17" s="124"/>
      <c r="B17" s="30" t="s">
        <v>133</v>
      </c>
      <c r="C17" s="59"/>
      <c r="D17" s="126"/>
      <c r="E17" s="126"/>
      <c r="F17" s="128"/>
      <c r="G17" s="130"/>
      <c r="H17" s="130"/>
      <c r="I17" s="118"/>
      <c r="J17" s="114"/>
      <c r="K17" s="59"/>
      <c r="L17" s="59"/>
      <c r="M17" s="28" t="str">
        <f t="shared" si="8"/>
        <v/>
      </c>
      <c r="N17" s="116"/>
      <c r="O17" s="28" t="str">
        <f t="shared" si="9"/>
        <v/>
      </c>
      <c r="P17" s="118"/>
      <c r="Q17" s="114"/>
      <c r="R17" s="114"/>
      <c r="S17" s="162"/>
      <c r="T17" s="162"/>
      <c r="U17" s="176"/>
    </row>
    <row r="18" spans="1:23" ht="38.25" customHeight="1">
      <c r="A18" s="124"/>
      <c r="B18" s="29" t="s">
        <v>134</v>
      </c>
      <c r="C18" s="60" t="s">
        <v>177</v>
      </c>
      <c r="D18" s="127"/>
      <c r="E18" s="127"/>
      <c r="F18" s="128"/>
      <c r="G18" s="131"/>
      <c r="H18" s="131"/>
      <c r="I18" s="119"/>
      <c r="J18" s="114"/>
      <c r="K18" s="61"/>
      <c r="L18" s="60">
        <v>50000</v>
      </c>
      <c r="M18" s="52">
        <f t="shared" ref="M18" si="10">IF(L18="","",L18)</f>
        <v>50000</v>
      </c>
      <c r="N18" s="116"/>
      <c r="O18" s="52">
        <f t="shared" ref="O18" si="11">IF(M18="","",IF($J$9&lt;$K$9,"",M18*$N$9))</f>
        <v>37500</v>
      </c>
      <c r="P18" s="119"/>
      <c r="Q18" s="115"/>
      <c r="R18" s="115"/>
      <c r="S18" s="162"/>
      <c r="T18" s="162"/>
      <c r="U18" s="176"/>
    </row>
    <row r="19" spans="1:23" ht="38.25" customHeight="1">
      <c r="A19" s="124"/>
      <c r="B19" s="56" t="s">
        <v>179</v>
      </c>
      <c r="C19" s="57" t="s">
        <v>178</v>
      </c>
      <c r="D19" s="101" t="s">
        <v>169</v>
      </c>
      <c r="E19" s="58" t="s">
        <v>122</v>
      </c>
      <c r="F19" s="128"/>
      <c r="G19" s="132">
        <v>3000000</v>
      </c>
      <c r="H19" s="132">
        <v>0</v>
      </c>
      <c r="I19" s="121">
        <f t="shared" ref="I19" si="12">IF(G19="","",G19-H19)</f>
        <v>3000000</v>
      </c>
      <c r="J19" s="114"/>
      <c r="K19" s="57">
        <v>10</v>
      </c>
      <c r="L19" s="57">
        <v>300000</v>
      </c>
      <c r="M19" s="21">
        <f t="shared" ref="M19" si="13">IF(K19="","",IF($J$9&lt;K19,"台数上限を超えています",K19*L19))</f>
        <v>3000000</v>
      </c>
      <c r="N19" s="116"/>
      <c r="O19" s="21">
        <f t="shared" ref="O19" si="14">IF(M19="","",IF($J$9&lt;$K19,"",M19*$N$9))</f>
        <v>2250000</v>
      </c>
      <c r="P19" s="121">
        <f>IF(K19="","",IF($J$9&lt;K19,"",ROUNDDOWN(SUM(O19:O23),-3)))</f>
        <v>2250000</v>
      </c>
      <c r="Q19" s="120">
        <f>IF(P19="","",IF($J$9&lt;K19,"",IF(B19="",0,IF(OR(B19=データリスト!$C$2,B19=データリスト!$D$2,B19=データリスト!$K$2),'（記載例）所要額調書①'!K19*1000000,'（記載例）所要額調書①'!K19*300000))))</f>
        <v>10000000</v>
      </c>
      <c r="R19" s="120">
        <f t="shared" ref="R19" si="15">IF(Q19="","",IF($J$9&lt;K19,"",ROUNDDOWN(MIN(I19,P19,Q19),-3)))</f>
        <v>2250000</v>
      </c>
      <c r="S19" s="162"/>
      <c r="T19" s="162"/>
      <c r="U19" s="176"/>
      <c r="V19" s="6" t="str">
        <f>CONCATENATE(B19,E19)</f>
        <v>移乗支援（装着）職員の心理的負担の軽減</v>
      </c>
      <c r="W19" s="6">
        <f>IF(V19="","",COUNTIF($V$9:$V$23,V19))</f>
        <v>1</v>
      </c>
    </row>
    <row r="20" spans="1:23" ht="38.25" customHeight="1">
      <c r="A20" s="124"/>
      <c r="B20" s="30" t="s">
        <v>131</v>
      </c>
      <c r="C20" s="27"/>
      <c r="D20" s="125"/>
      <c r="E20" s="125"/>
      <c r="F20" s="128"/>
      <c r="G20" s="130"/>
      <c r="H20" s="130"/>
      <c r="I20" s="118"/>
      <c r="J20" s="114"/>
      <c r="K20" s="59"/>
      <c r="L20" s="59"/>
      <c r="M20" s="28" t="str">
        <f t="shared" ref="M20" si="16">IF(K20="","",K20*L20)</f>
        <v/>
      </c>
      <c r="N20" s="116"/>
      <c r="O20" s="28" t="str">
        <f t="shared" ref="O20" si="17">IF(M20="","",IF($J$9&lt;$K$9,"",IF(L20*$N$9&gt;100000,100000*K20,M20*$N$9)))</f>
        <v/>
      </c>
      <c r="P20" s="118"/>
      <c r="Q20" s="114"/>
      <c r="R20" s="114"/>
      <c r="S20" s="162"/>
      <c r="T20" s="162"/>
      <c r="U20" s="176"/>
    </row>
    <row r="21" spans="1:23" ht="38.25" customHeight="1">
      <c r="A21" s="124"/>
      <c r="B21" s="30" t="s">
        <v>132</v>
      </c>
      <c r="C21" s="27"/>
      <c r="D21" s="126"/>
      <c r="E21" s="126"/>
      <c r="F21" s="128"/>
      <c r="G21" s="130"/>
      <c r="H21" s="130"/>
      <c r="I21" s="118"/>
      <c r="J21" s="114"/>
      <c r="K21" s="59"/>
      <c r="L21" s="59"/>
      <c r="M21" s="28" t="str">
        <f t="shared" si="8"/>
        <v/>
      </c>
      <c r="N21" s="116"/>
      <c r="O21" s="28" t="str">
        <f t="shared" si="9"/>
        <v/>
      </c>
      <c r="P21" s="118"/>
      <c r="Q21" s="114"/>
      <c r="R21" s="114"/>
      <c r="S21" s="162"/>
      <c r="T21" s="162"/>
      <c r="U21" s="176"/>
    </row>
    <row r="22" spans="1:23" ht="38.25" customHeight="1">
      <c r="A22" s="124"/>
      <c r="B22" s="30" t="s">
        <v>133</v>
      </c>
      <c r="C22" s="27"/>
      <c r="D22" s="126"/>
      <c r="E22" s="126"/>
      <c r="F22" s="128"/>
      <c r="G22" s="130"/>
      <c r="H22" s="130"/>
      <c r="I22" s="118"/>
      <c r="J22" s="114"/>
      <c r="K22" s="59"/>
      <c r="L22" s="59"/>
      <c r="M22" s="28" t="str">
        <f t="shared" si="8"/>
        <v/>
      </c>
      <c r="N22" s="116"/>
      <c r="O22" s="28" t="str">
        <f t="shared" si="9"/>
        <v/>
      </c>
      <c r="P22" s="118"/>
      <c r="Q22" s="114"/>
      <c r="R22" s="114"/>
      <c r="S22" s="162"/>
      <c r="T22" s="162"/>
      <c r="U22" s="176"/>
    </row>
    <row r="23" spans="1:23" ht="38.25" customHeight="1">
      <c r="A23" s="124"/>
      <c r="B23" s="29" t="s">
        <v>134</v>
      </c>
      <c r="C23" s="54"/>
      <c r="D23" s="127"/>
      <c r="E23" s="127"/>
      <c r="F23" s="129"/>
      <c r="G23" s="131"/>
      <c r="H23" s="131"/>
      <c r="I23" s="119"/>
      <c r="J23" s="115"/>
      <c r="K23" s="61"/>
      <c r="L23" s="60"/>
      <c r="M23" s="52" t="str">
        <f t="shared" ref="M23" si="18">IF(L23="","",L23)</f>
        <v/>
      </c>
      <c r="N23" s="117"/>
      <c r="O23" s="52" t="str">
        <f t="shared" ref="O23" si="19">IF(M23="","",IF($J$9&lt;$K$9,"",M23*$N$9))</f>
        <v/>
      </c>
      <c r="P23" s="119"/>
      <c r="Q23" s="115"/>
      <c r="R23" s="115"/>
      <c r="S23" s="163"/>
      <c r="T23" s="163"/>
      <c r="U23" s="178"/>
    </row>
    <row r="24" spans="1:23">
      <c r="A24" s="113" t="s">
        <v>14</v>
      </c>
      <c r="B24" s="113"/>
      <c r="C24" s="113"/>
      <c r="D24" s="113"/>
      <c r="E24" s="113"/>
      <c r="F24" s="113"/>
      <c r="G24" s="13">
        <f t="shared" ref="G24:I24" si="20">SUM(G9:G23)</f>
        <v>20450000</v>
      </c>
      <c r="H24" s="13">
        <f t="shared" si="20"/>
        <v>0</v>
      </c>
      <c r="I24" s="13">
        <f t="shared" si="20"/>
        <v>20450000</v>
      </c>
      <c r="J24" s="16"/>
      <c r="K24" s="13"/>
      <c r="L24" s="13"/>
      <c r="M24" s="13">
        <f t="shared" ref="M24" si="21">SUM(M9:M23)</f>
        <v>20450000</v>
      </c>
      <c r="N24" s="16"/>
      <c r="O24" s="13">
        <f t="shared" ref="O24:Q24" si="22">SUM(O9:O23)</f>
        <v>15087500</v>
      </c>
      <c r="P24" s="13">
        <f t="shared" si="22"/>
        <v>15087000</v>
      </c>
      <c r="Q24" s="13">
        <f t="shared" si="22"/>
        <v>23000000</v>
      </c>
      <c r="R24" s="13">
        <f>SUM(R9:R23)</f>
        <v>14287000</v>
      </c>
      <c r="S24" s="13">
        <f t="shared" ref="S24:T24" si="23">SUM(S9:S23)</f>
        <v>14250000</v>
      </c>
      <c r="T24" s="13">
        <f>SUM(T9:T23)</f>
        <v>0</v>
      </c>
      <c r="U24" s="13">
        <f>SUM(U9:U23)</f>
        <v>14250000</v>
      </c>
      <c r="W24" s="6">
        <f>SUM(W9:W23)</f>
        <v>3</v>
      </c>
    </row>
    <row r="25" spans="1:23" ht="37.65" customHeight="1">
      <c r="B25" s="26" t="str">
        <f>IF(W24&gt;3,"！同一の種別かつ同一の使用目的で補助できる機種は1種類限りです！","")</f>
        <v/>
      </c>
    </row>
    <row r="26" spans="1:23" ht="37.65" customHeight="1"/>
    <row r="27" spans="1:23" ht="37.65" customHeight="1"/>
    <row r="28" spans="1:23" ht="37.65" customHeight="1"/>
    <row r="29" spans="1:23" ht="37.65" customHeight="1"/>
  </sheetData>
  <mergeCells count="37">
    <mergeCell ref="S9:S23"/>
    <mergeCell ref="T9:T23"/>
    <mergeCell ref="U9:U23"/>
    <mergeCell ref="A24:F24"/>
    <mergeCell ref="P14:P18"/>
    <mergeCell ref="Q14:Q18"/>
    <mergeCell ref="R14:R18"/>
    <mergeCell ref="E15:E18"/>
    <mergeCell ref="G19:G23"/>
    <mergeCell ref="H19:H23"/>
    <mergeCell ref="I19:I23"/>
    <mergeCell ref="P19:P23"/>
    <mergeCell ref="Q19:Q23"/>
    <mergeCell ref="J9:J23"/>
    <mergeCell ref="N9:N23"/>
    <mergeCell ref="P9:P13"/>
    <mergeCell ref="Q9:Q13"/>
    <mergeCell ref="R9:R13"/>
    <mergeCell ref="E10:E13"/>
    <mergeCell ref="R19:R23"/>
    <mergeCell ref="E20:E23"/>
    <mergeCell ref="S1:U1"/>
    <mergeCell ref="S2:U2"/>
    <mergeCell ref="S3:U3"/>
    <mergeCell ref="S4:U4"/>
    <mergeCell ref="S5:U5"/>
    <mergeCell ref="A9:A23"/>
    <mergeCell ref="F9:F23"/>
    <mergeCell ref="G9:G13"/>
    <mergeCell ref="H9:H13"/>
    <mergeCell ref="I9:I13"/>
    <mergeCell ref="G14:G18"/>
    <mergeCell ref="H14:H18"/>
    <mergeCell ref="I14:I18"/>
    <mergeCell ref="D10:D13"/>
    <mergeCell ref="D15:D18"/>
    <mergeCell ref="D20:D23"/>
  </mergeCells>
  <phoneticPr fontId="1"/>
  <conditionalFormatting sqref="M9 M14 M19">
    <cfRule type="expression" dxfId="7" priority="1">
      <formula>$M9="台数上限を超えています"</formula>
    </cfRule>
  </conditionalFormatting>
  <dataValidations count="3">
    <dataValidation allowBlank="1" showInputMessage="1" showErrorMessage="1" prompt="情報端末の1台あたりの金額に補助率3/4を乗じて10万円を超える場合、10万円までが補助対象額となります。" sqref="L20:L22 L15:L17 L10:L12" xr:uid="{ACBD5989-1582-444E-A632-BFE3F29B65F9}"/>
    <dataValidation type="list" allowBlank="1" showInputMessage="1" showErrorMessage="1" sqref="D9 D14 D19" xr:uid="{A082AB9B-7C36-4F0C-9D14-8525EE7F8D2E}">
      <formula1>"有,無"</formula1>
    </dataValidation>
    <dataValidation type="list" allowBlank="1" showInputMessage="1" sqref="B9:B23" xr:uid="{D26DEA01-1D45-42B4-BE0B-C30C1B42DFFC}">
      <formula1>"移乗支援（装着）,移乗支援（非装着）,移動支援（屋外）,移動支援（屋内）,移動支援（装着）,排泄支援（排泄物処理）,排泄物（排泄予測、検知）,排泄支援（動作支援）,見守り・コミュニケーション（施設）,見守り・コミュニケーション（在宅）,見守り・コミュニケーション（コミュニケーション）,入浴支援,介護業務支援,機能訓練支援,食事・栄養管理支援,認知症生活支援・認知症ケア支援"</formula1>
    </dataValidation>
  </dataValidations>
  <pageMargins left="0.7" right="0.7" top="0.75" bottom="0.75" header="0.3" footer="0.3"/>
  <pageSetup paperSize="9" scale="25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prompt="その他を選択した場合は、（）内に具体的な使用目的を記載してください。" xr:uid="{DCD0A06A-1803-4BDE-9706-ABC50CBA69DA}">
          <x14:formula1>
            <xm:f>データリスト!$C$3:$C$10</xm:f>
          </x14:formula1>
          <xm:sqref>E9 E14 E19</xm:sqref>
        </x14:dataValidation>
        <x14:dataValidation type="list" allowBlank="1" showInputMessage="1" showErrorMessage="1" xr:uid="{8CE0487E-CC8C-4A89-A0E4-6F58E3E20DA6}">
          <x14:formula1>
            <xm:f>データリスト!$A$2:$A$55</xm:f>
          </x14:formula1>
          <xm:sqref>S4:U4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CDD1E-9EE4-4AB8-AC4D-61AAA868C8BA}">
  <sheetPr codeName="Sheet5"/>
  <dimension ref="A1:W29"/>
  <sheetViews>
    <sheetView view="pageBreakPreview" topLeftCell="A6" zoomScale="75" zoomScaleNormal="70" zoomScaleSheetLayoutView="75" workbookViewId="0">
      <selection activeCell="E20" sqref="E20:E23"/>
    </sheetView>
  </sheetViews>
  <sheetFormatPr defaultColWidth="8.83203125" defaultRowHeight="18"/>
  <cols>
    <col min="1" max="1" width="25.83203125" style="6" customWidth="1"/>
    <col min="2" max="2" width="26.08203125" style="6" bestFit="1" customWidth="1"/>
    <col min="3" max="3" width="10.4140625" style="6" customWidth="1"/>
    <col min="4" max="4" width="32.58203125" style="6" customWidth="1"/>
    <col min="5" max="5" width="23" style="6" customWidth="1"/>
    <col min="6" max="6" width="22.33203125" style="6" customWidth="1"/>
    <col min="7" max="7" width="6.83203125" style="6" bestFit="1" customWidth="1"/>
    <col min="8" max="10" width="13.58203125" style="6" customWidth="1"/>
    <col min="11" max="11" width="8.58203125" style="6" bestFit="1" customWidth="1"/>
    <col min="12" max="12" width="13" style="6" customWidth="1"/>
    <col min="13" max="13" width="21.83203125" style="6" customWidth="1"/>
    <col min="14" max="14" width="6.83203125" style="6" bestFit="1" customWidth="1"/>
    <col min="15" max="15" width="13.58203125" style="6" customWidth="1"/>
    <col min="16" max="16" width="13.6640625" style="6" customWidth="1"/>
    <col min="17" max="17" width="13" style="6" customWidth="1"/>
    <col min="18" max="18" width="13.83203125" style="6" bestFit="1" customWidth="1"/>
    <col min="19" max="21" width="13.83203125" style="6" customWidth="1"/>
    <col min="22" max="22" width="36.6640625" style="6" customWidth="1"/>
    <col min="23" max="23" width="5.6640625" style="6" customWidth="1"/>
    <col min="24" max="16384" width="8.83203125" style="6"/>
  </cols>
  <sheetData>
    <row r="1" spans="1:23">
      <c r="A1" s="6" t="s">
        <v>25</v>
      </c>
      <c r="N1" s="9"/>
      <c r="R1" s="9" t="s">
        <v>28</v>
      </c>
      <c r="S1" s="194"/>
      <c r="T1" s="194"/>
      <c r="U1" s="194"/>
    </row>
    <row r="2" spans="1:23">
      <c r="A2" s="6" t="s">
        <v>206</v>
      </c>
      <c r="N2" s="9"/>
      <c r="R2" s="9" t="s">
        <v>29</v>
      </c>
      <c r="S2" s="195"/>
      <c r="T2" s="195"/>
      <c r="U2" s="195"/>
    </row>
    <row r="3" spans="1:23">
      <c r="N3" s="9"/>
      <c r="R3" s="9" t="s">
        <v>30</v>
      </c>
      <c r="S3" s="195"/>
      <c r="T3" s="195"/>
      <c r="U3" s="195"/>
    </row>
    <row r="4" spans="1:23">
      <c r="A4" s="7" t="s">
        <v>166</v>
      </c>
      <c r="B4" s="7"/>
      <c r="E4" s="8"/>
      <c r="F4" s="8"/>
      <c r="N4" s="9"/>
      <c r="R4" s="9" t="s">
        <v>31</v>
      </c>
      <c r="S4" s="196"/>
      <c r="T4" s="196"/>
      <c r="U4" s="196"/>
    </row>
    <row r="5" spans="1:23">
      <c r="N5" s="9"/>
      <c r="R5" s="9" t="s">
        <v>32</v>
      </c>
      <c r="S5" s="195"/>
      <c r="T5" s="195"/>
      <c r="U5" s="195"/>
    </row>
    <row r="6" spans="1:23" ht="40" customHeight="1">
      <c r="A6" s="77"/>
      <c r="C6" s="99"/>
      <c r="H6" s="40" t="s">
        <v>142</v>
      </c>
      <c r="I6" s="40" t="s">
        <v>143</v>
      </c>
      <c r="J6" s="40" t="s">
        <v>144</v>
      </c>
      <c r="K6" s="40" t="s">
        <v>145</v>
      </c>
      <c r="L6" s="40" t="s">
        <v>146</v>
      </c>
      <c r="M6" s="40" t="s">
        <v>147</v>
      </c>
      <c r="N6" s="40"/>
      <c r="O6" s="40" t="s">
        <v>148</v>
      </c>
      <c r="P6" s="40" t="s">
        <v>162</v>
      </c>
      <c r="Q6" s="40" t="s">
        <v>150</v>
      </c>
      <c r="R6" s="46" t="s">
        <v>194</v>
      </c>
      <c r="S6" s="55" t="s">
        <v>195</v>
      </c>
      <c r="T6" s="55" t="s">
        <v>201</v>
      </c>
      <c r="U6" s="46" t="s">
        <v>202</v>
      </c>
      <c r="V6" s="46"/>
    </row>
    <row r="7" spans="1:23" s="1" customFormat="1" ht="54" customHeight="1">
      <c r="A7" s="85" t="s">
        <v>2</v>
      </c>
      <c r="B7" s="85" t="s">
        <v>136</v>
      </c>
      <c r="C7" s="85" t="s">
        <v>130</v>
      </c>
      <c r="D7" s="85" t="s">
        <v>26</v>
      </c>
      <c r="E7" s="85" t="s">
        <v>139</v>
      </c>
      <c r="F7" s="85" t="s">
        <v>138</v>
      </c>
      <c r="G7" s="85" t="s">
        <v>18</v>
      </c>
      <c r="H7" s="85" t="s">
        <v>141</v>
      </c>
      <c r="I7" s="85" t="s">
        <v>128</v>
      </c>
      <c r="J7" s="85" t="s">
        <v>129</v>
      </c>
      <c r="K7" s="85" t="s">
        <v>9</v>
      </c>
      <c r="L7" s="85" t="s">
        <v>135</v>
      </c>
      <c r="M7" s="85" t="s">
        <v>8</v>
      </c>
      <c r="N7" s="85" t="s">
        <v>10</v>
      </c>
      <c r="O7" s="85" t="s">
        <v>158</v>
      </c>
      <c r="P7" s="85" t="s">
        <v>159</v>
      </c>
      <c r="Q7" s="85" t="s">
        <v>127</v>
      </c>
      <c r="R7" s="85" t="s">
        <v>193</v>
      </c>
      <c r="S7" s="85" t="s">
        <v>199</v>
      </c>
      <c r="T7" s="85" t="s">
        <v>200</v>
      </c>
      <c r="U7" s="85" t="s">
        <v>203</v>
      </c>
    </row>
    <row r="8" spans="1:23" s="1" customFormat="1" ht="18" customHeight="1">
      <c r="A8" s="92"/>
      <c r="B8" s="92"/>
      <c r="C8" s="89"/>
      <c r="D8" s="92"/>
      <c r="E8" s="92"/>
      <c r="F8" s="92"/>
      <c r="G8" s="92" t="s">
        <v>190</v>
      </c>
      <c r="H8" s="92" t="s">
        <v>191</v>
      </c>
      <c r="I8" s="92" t="s">
        <v>191</v>
      </c>
      <c r="J8" s="92" t="s">
        <v>191</v>
      </c>
      <c r="K8" s="92" t="s">
        <v>192</v>
      </c>
      <c r="L8" s="92" t="s">
        <v>191</v>
      </c>
      <c r="M8" s="92" t="s">
        <v>191</v>
      </c>
      <c r="N8" s="92"/>
      <c r="O8" s="92" t="s">
        <v>191</v>
      </c>
      <c r="P8" s="92" t="s">
        <v>191</v>
      </c>
      <c r="Q8" s="92" t="s">
        <v>191</v>
      </c>
      <c r="R8" s="97" t="s">
        <v>191</v>
      </c>
      <c r="S8" s="90" t="s">
        <v>191</v>
      </c>
      <c r="T8" s="90" t="s">
        <v>191</v>
      </c>
      <c r="U8" s="97" t="s">
        <v>191</v>
      </c>
    </row>
    <row r="9" spans="1:23" ht="38.25" customHeight="1">
      <c r="A9" s="32" t="s">
        <v>17</v>
      </c>
      <c r="B9" s="184"/>
      <c r="C9" s="185"/>
      <c r="D9" s="187"/>
      <c r="E9" s="197"/>
      <c r="F9" s="197"/>
      <c r="G9" s="193"/>
      <c r="H9" s="191"/>
      <c r="I9" s="191"/>
      <c r="J9" s="121" t="str">
        <f>IF(H9="","",H9-I9)</f>
        <v/>
      </c>
      <c r="K9" s="33"/>
      <c r="L9" s="184"/>
      <c r="M9" s="21" t="str">
        <f>IF(L9="","",L9)</f>
        <v/>
      </c>
      <c r="N9" s="133">
        <v>0.75</v>
      </c>
      <c r="O9" s="21" t="str">
        <f>IF(M9="","",M9*$N$9)</f>
        <v/>
      </c>
      <c r="P9" s="121" t="str">
        <f>IF(L9="","",ROUNDDOWN(SUM(O9:O13),-3))</f>
        <v/>
      </c>
      <c r="Q9" s="120" t="str">
        <f>IF(P9="","",IF(E9="",0,IF(E9="職員数により合計金額が変動しない",IF(F9="5事業所以上とデータ連携を実施",2550000,2500000),IF(F9="5事業所以上とデータ連携を実施",IF($G$9&lt;=10,1050000,IF($G$9&lt;=20,1550000,IF($G$9&lt;=30,2050000,2550000))),IF($G$9&lt;=10,1000000,IF($G$9&lt;=20,1500000,IF($G$9&lt;=30,2000000,2500000)))))))</f>
        <v/>
      </c>
      <c r="R9" s="120" t="str">
        <f>IF(Q9="","",ROUNDDOWN(MIN(J9,P9,Q9),-3))</f>
        <v/>
      </c>
      <c r="S9" s="198"/>
      <c r="T9" s="198"/>
      <c r="U9" s="177" t="str">
        <f>IF(S9="","",IF(R24&gt;S9,S9-T9,R24-T9))</f>
        <v/>
      </c>
      <c r="V9" s="6" t="str">
        <f>CONCATENATE(A9,D9)</f>
        <v>介護ソフト</v>
      </c>
      <c r="W9" s="6" t="str">
        <f>IF(D9="","",IF(V9="","",COUNTIF($V$9:$V$23,V9)))</f>
        <v/>
      </c>
    </row>
    <row r="10" spans="1:23" ht="38.25" customHeight="1">
      <c r="A10" s="30" t="s">
        <v>131</v>
      </c>
      <c r="B10" s="182"/>
      <c r="C10" s="125"/>
      <c r="D10" s="125"/>
      <c r="E10" s="125"/>
      <c r="F10" s="125"/>
      <c r="G10" s="188"/>
      <c r="H10" s="189"/>
      <c r="I10" s="189"/>
      <c r="J10" s="118"/>
      <c r="K10" s="182"/>
      <c r="L10" s="182"/>
      <c r="M10" s="28" t="str">
        <f>IF(K10="","",K10*L10)</f>
        <v/>
      </c>
      <c r="N10" s="116"/>
      <c r="O10" s="28" t="str">
        <f>IF(M10="","",IF(L10*$N$9&gt;100000,100000*K10,M10*$N$9))</f>
        <v/>
      </c>
      <c r="P10" s="118"/>
      <c r="Q10" s="114"/>
      <c r="R10" s="114"/>
      <c r="S10" s="199"/>
      <c r="T10" s="199"/>
      <c r="U10" s="176"/>
    </row>
    <row r="11" spans="1:23" ht="38.25" customHeight="1">
      <c r="A11" s="30" t="s">
        <v>132</v>
      </c>
      <c r="B11" s="182"/>
      <c r="C11" s="126"/>
      <c r="D11" s="126"/>
      <c r="E11" s="126"/>
      <c r="F11" s="126"/>
      <c r="G11" s="188"/>
      <c r="H11" s="189"/>
      <c r="I11" s="189"/>
      <c r="J11" s="118"/>
      <c r="K11" s="182"/>
      <c r="L11" s="182"/>
      <c r="M11" s="28" t="str">
        <f t="shared" ref="M11:M12" si="0">IF(K11="","",K11*L11)</f>
        <v/>
      </c>
      <c r="N11" s="116"/>
      <c r="O11" s="28" t="str">
        <f t="shared" ref="O11:O12" si="1">IF(M11="","",IF(L11*$N$9&gt;100000,100000*K11,M11*$N$9))</f>
        <v/>
      </c>
      <c r="P11" s="118"/>
      <c r="Q11" s="114"/>
      <c r="R11" s="114"/>
      <c r="S11" s="199"/>
      <c r="T11" s="199"/>
      <c r="U11" s="176"/>
    </row>
    <row r="12" spans="1:23" ht="38.25" customHeight="1">
      <c r="A12" s="30" t="s">
        <v>133</v>
      </c>
      <c r="B12" s="182"/>
      <c r="C12" s="126"/>
      <c r="D12" s="126"/>
      <c r="E12" s="126"/>
      <c r="F12" s="126"/>
      <c r="G12" s="188"/>
      <c r="H12" s="189"/>
      <c r="I12" s="189"/>
      <c r="J12" s="118"/>
      <c r="K12" s="182"/>
      <c r="L12" s="182"/>
      <c r="M12" s="28" t="str">
        <f t="shared" si="0"/>
        <v/>
      </c>
      <c r="N12" s="116"/>
      <c r="O12" s="28" t="str">
        <f t="shared" si="1"/>
        <v/>
      </c>
      <c r="P12" s="118"/>
      <c r="Q12" s="114"/>
      <c r="R12" s="114"/>
      <c r="S12" s="199"/>
      <c r="T12" s="199"/>
      <c r="U12" s="176"/>
    </row>
    <row r="13" spans="1:23" ht="38.25" customHeight="1">
      <c r="A13" s="29" t="s">
        <v>134</v>
      </c>
      <c r="B13" s="183"/>
      <c r="C13" s="127"/>
      <c r="D13" s="127"/>
      <c r="E13" s="127"/>
      <c r="F13" s="127"/>
      <c r="G13" s="188"/>
      <c r="H13" s="190"/>
      <c r="I13" s="190"/>
      <c r="J13" s="119"/>
      <c r="K13" s="31"/>
      <c r="L13" s="183"/>
      <c r="M13" s="23" t="str">
        <f>IF(L13="","",L13)</f>
        <v/>
      </c>
      <c r="N13" s="116"/>
      <c r="O13" s="38" t="str">
        <f>IF(M13="","",M13*$N$9)</f>
        <v/>
      </c>
      <c r="P13" s="119"/>
      <c r="Q13" s="115"/>
      <c r="R13" s="115"/>
      <c r="S13" s="199"/>
      <c r="T13" s="199"/>
      <c r="U13" s="176"/>
    </row>
    <row r="14" spans="1:23" ht="38.25" customHeight="1">
      <c r="A14" s="32" t="s">
        <v>17</v>
      </c>
      <c r="B14" s="184"/>
      <c r="C14" s="185"/>
      <c r="D14" s="187"/>
      <c r="E14" s="197"/>
      <c r="F14" s="197"/>
      <c r="G14" s="188"/>
      <c r="H14" s="191"/>
      <c r="I14" s="191"/>
      <c r="J14" s="121" t="str">
        <f t="shared" ref="J14" si="2">IF(H14="","",H14-I14)</f>
        <v/>
      </c>
      <c r="K14" s="33"/>
      <c r="L14" s="184"/>
      <c r="M14" s="21" t="str">
        <f t="shared" ref="M14" si="3">IF(L14="","",L14)</f>
        <v/>
      </c>
      <c r="N14" s="116"/>
      <c r="O14" s="21" t="str">
        <f t="shared" ref="O14" si="4">IF(M14="","",M14*$N$9)</f>
        <v/>
      </c>
      <c r="P14" s="121" t="str">
        <f t="shared" ref="P14" si="5">IF(L14="","",ROUNDDOWN(SUM(O14:O18),-3))</f>
        <v/>
      </c>
      <c r="Q14" s="120" t="str">
        <f t="shared" ref="Q14" si="6">IF(P14="","",IF(E14="",0,IF(E14="職員数により合計金額が変動しない",IF(F14="5事業所以上とデータ連携を実施",2550000,2500000),IF(F14="5事業所以上とデータ連携を実施",IF($G$9&lt;=10,1050000,IF($G$9&lt;=20,1550000,IF($G$9&lt;=30,2050000,2550000))),IF($G$9&lt;=10,1000000,IF($G$9&lt;=20,1500000,IF($G$9&lt;=30,2000000,2500000)))))))</f>
        <v/>
      </c>
      <c r="R14" s="120" t="str">
        <f t="shared" ref="R14" si="7">IF(Q14="","",ROUNDDOWN(MIN(J14,P14,Q14),-3))</f>
        <v/>
      </c>
      <c r="S14" s="199"/>
      <c r="T14" s="199"/>
      <c r="U14" s="176"/>
      <c r="V14" s="6" t="str">
        <f>CONCATENATE(A14,D14)</f>
        <v>介護ソフト</v>
      </c>
      <c r="W14" s="6" t="str">
        <f>IF(D14="","",IF(V14="","",COUNTIF($V$9:$V$23,V14)))</f>
        <v/>
      </c>
    </row>
    <row r="15" spans="1:23" ht="38.25" customHeight="1">
      <c r="A15" s="30" t="s">
        <v>131</v>
      </c>
      <c r="B15" s="182"/>
      <c r="C15" s="125"/>
      <c r="D15" s="125"/>
      <c r="E15" s="125"/>
      <c r="F15" s="125"/>
      <c r="G15" s="188"/>
      <c r="H15" s="189"/>
      <c r="I15" s="189"/>
      <c r="J15" s="118"/>
      <c r="K15" s="182"/>
      <c r="L15" s="182"/>
      <c r="M15" s="28" t="str">
        <f t="shared" ref="M15:M22" si="8">IF(K15="","",K15*L15)</f>
        <v/>
      </c>
      <c r="N15" s="116"/>
      <c r="O15" s="28" t="str">
        <f t="shared" ref="O15:O22" si="9">IF(M15="","",IF(L15*$N$9&gt;100000,100000*K15,M15*$N$9))</f>
        <v/>
      </c>
      <c r="P15" s="118"/>
      <c r="Q15" s="114"/>
      <c r="R15" s="114"/>
      <c r="S15" s="199"/>
      <c r="T15" s="199"/>
      <c r="U15" s="176"/>
    </row>
    <row r="16" spans="1:23" ht="38.25" customHeight="1">
      <c r="A16" s="30" t="s">
        <v>132</v>
      </c>
      <c r="B16" s="182"/>
      <c r="C16" s="126"/>
      <c r="D16" s="126"/>
      <c r="E16" s="126"/>
      <c r="F16" s="126"/>
      <c r="G16" s="188"/>
      <c r="H16" s="189"/>
      <c r="I16" s="189"/>
      <c r="J16" s="118"/>
      <c r="K16" s="182"/>
      <c r="L16" s="182"/>
      <c r="M16" s="28" t="str">
        <f t="shared" si="8"/>
        <v/>
      </c>
      <c r="N16" s="116"/>
      <c r="O16" s="28" t="str">
        <f t="shared" si="9"/>
        <v/>
      </c>
      <c r="P16" s="118"/>
      <c r="Q16" s="114"/>
      <c r="R16" s="114"/>
      <c r="S16" s="199"/>
      <c r="T16" s="199"/>
      <c r="U16" s="176"/>
    </row>
    <row r="17" spans="1:23" ht="38.25" customHeight="1">
      <c r="A17" s="30" t="s">
        <v>133</v>
      </c>
      <c r="B17" s="182"/>
      <c r="C17" s="126"/>
      <c r="D17" s="126"/>
      <c r="E17" s="126"/>
      <c r="F17" s="126"/>
      <c r="G17" s="188"/>
      <c r="H17" s="189"/>
      <c r="I17" s="189"/>
      <c r="J17" s="118"/>
      <c r="K17" s="182"/>
      <c r="L17" s="182"/>
      <c r="M17" s="28" t="str">
        <f t="shared" si="8"/>
        <v/>
      </c>
      <c r="N17" s="116"/>
      <c r="O17" s="28" t="str">
        <f t="shared" si="9"/>
        <v/>
      </c>
      <c r="P17" s="118"/>
      <c r="Q17" s="114"/>
      <c r="R17" s="114"/>
      <c r="S17" s="199"/>
      <c r="T17" s="199"/>
      <c r="U17" s="176"/>
    </row>
    <row r="18" spans="1:23" ht="38.25" customHeight="1">
      <c r="A18" s="29" t="s">
        <v>134</v>
      </c>
      <c r="B18" s="183"/>
      <c r="C18" s="127"/>
      <c r="D18" s="127"/>
      <c r="E18" s="127"/>
      <c r="F18" s="127"/>
      <c r="G18" s="188"/>
      <c r="H18" s="190"/>
      <c r="I18" s="190"/>
      <c r="J18" s="119"/>
      <c r="K18" s="31"/>
      <c r="L18" s="183"/>
      <c r="M18" s="38" t="str">
        <f t="shared" ref="M18:M19" si="10">IF(L18="","",L18)</f>
        <v/>
      </c>
      <c r="N18" s="116"/>
      <c r="O18" s="38" t="str">
        <f t="shared" ref="O18:O19" si="11">IF(M18="","",M18*$N$9)</f>
        <v/>
      </c>
      <c r="P18" s="119"/>
      <c r="Q18" s="115"/>
      <c r="R18" s="115"/>
      <c r="S18" s="199"/>
      <c r="T18" s="199"/>
      <c r="U18" s="176"/>
    </row>
    <row r="19" spans="1:23" ht="38.25" customHeight="1">
      <c r="A19" s="32" t="s">
        <v>17</v>
      </c>
      <c r="B19" s="184"/>
      <c r="C19" s="185"/>
      <c r="D19" s="187"/>
      <c r="E19" s="197"/>
      <c r="F19" s="197"/>
      <c r="G19" s="188"/>
      <c r="H19" s="191"/>
      <c r="I19" s="191"/>
      <c r="J19" s="121" t="str">
        <f t="shared" ref="J19" si="12">IF(H19="","",H19-I19)</f>
        <v/>
      </c>
      <c r="K19" s="33"/>
      <c r="L19" s="184"/>
      <c r="M19" s="21" t="str">
        <f t="shared" si="10"/>
        <v/>
      </c>
      <c r="N19" s="116"/>
      <c r="O19" s="21" t="str">
        <f t="shared" si="11"/>
        <v/>
      </c>
      <c r="P19" s="121" t="str">
        <f t="shared" ref="P19" si="13">IF(L19="","",ROUNDDOWN(SUM(O19:O23),-3))</f>
        <v/>
      </c>
      <c r="Q19" s="120" t="str">
        <f t="shared" ref="Q19" si="14">IF(P19="","",IF(E19="",0,IF(E19="職員数により合計金額が変動しない",IF(F19="5事業所以上とデータ連携を実施",2550000,2500000),IF(F19="5事業所以上とデータ連携を実施",IF($G$9&lt;=10,1050000,IF($G$9&lt;=20,1550000,IF($G$9&lt;=30,2050000,2550000))),IF($G$9&lt;=10,1000000,IF($G$9&lt;=20,1500000,IF($G$9&lt;=30,2000000,2500000)))))))</f>
        <v/>
      </c>
      <c r="R19" s="120" t="str">
        <f t="shared" ref="R19" si="15">IF(Q19="","",ROUNDDOWN(MIN(J19,P19,Q19),-3))</f>
        <v/>
      </c>
      <c r="S19" s="199"/>
      <c r="T19" s="199"/>
      <c r="U19" s="176"/>
      <c r="V19" s="6" t="str">
        <f>CONCATENATE(A19,D19)</f>
        <v>介護ソフト</v>
      </c>
      <c r="W19" s="6" t="str">
        <f>IF(D19="","",IF(V19="","",COUNTIF($V$9:$V$23,V19)))</f>
        <v/>
      </c>
    </row>
    <row r="20" spans="1:23" ht="38.25" customHeight="1">
      <c r="A20" s="30" t="s">
        <v>131</v>
      </c>
      <c r="B20" s="182"/>
      <c r="C20" s="125"/>
      <c r="D20" s="125"/>
      <c r="E20" s="125"/>
      <c r="F20" s="125"/>
      <c r="G20" s="188"/>
      <c r="H20" s="189"/>
      <c r="I20" s="189"/>
      <c r="J20" s="118"/>
      <c r="K20" s="182"/>
      <c r="L20" s="182"/>
      <c r="M20" s="28" t="str">
        <f t="shared" ref="M20" si="16">IF(K20="","",K20*L20)</f>
        <v/>
      </c>
      <c r="N20" s="116"/>
      <c r="O20" s="28" t="str">
        <f t="shared" ref="O20" si="17">IF(M20="","",IF(L20*$N$9&gt;100000,100000*K20,M20*$N$9))</f>
        <v/>
      </c>
      <c r="P20" s="118"/>
      <c r="Q20" s="114"/>
      <c r="R20" s="114"/>
      <c r="S20" s="199"/>
      <c r="T20" s="199"/>
      <c r="U20" s="176"/>
    </row>
    <row r="21" spans="1:23" ht="38.25" customHeight="1">
      <c r="A21" s="30" t="s">
        <v>132</v>
      </c>
      <c r="B21" s="182"/>
      <c r="C21" s="126"/>
      <c r="D21" s="126"/>
      <c r="E21" s="126"/>
      <c r="F21" s="126"/>
      <c r="G21" s="188"/>
      <c r="H21" s="189"/>
      <c r="I21" s="189"/>
      <c r="J21" s="118"/>
      <c r="K21" s="182"/>
      <c r="L21" s="182"/>
      <c r="M21" s="28" t="str">
        <f t="shared" si="8"/>
        <v/>
      </c>
      <c r="N21" s="116"/>
      <c r="O21" s="28" t="str">
        <f t="shared" si="9"/>
        <v/>
      </c>
      <c r="P21" s="118"/>
      <c r="Q21" s="114"/>
      <c r="R21" s="114"/>
      <c r="S21" s="199"/>
      <c r="T21" s="199"/>
      <c r="U21" s="176"/>
    </row>
    <row r="22" spans="1:23" ht="38.25" customHeight="1">
      <c r="A22" s="30" t="s">
        <v>133</v>
      </c>
      <c r="B22" s="182"/>
      <c r="C22" s="126"/>
      <c r="D22" s="126"/>
      <c r="E22" s="126"/>
      <c r="F22" s="126"/>
      <c r="G22" s="188"/>
      <c r="H22" s="189"/>
      <c r="I22" s="189"/>
      <c r="J22" s="118"/>
      <c r="K22" s="182"/>
      <c r="L22" s="182"/>
      <c r="M22" s="28" t="str">
        <f t="shared" si="8"/>
        <v/>
      </c>
      <c r="N22" s="116"/>
      <c r="O22" s="28" t="str">
        <f t="shared" si="9"/>
        <v/>
      </c>
      <c r="P22" s="118"/>
      <c r="Q22" s="114"/>
      <c r="R22" s="114"/>
      <c r="S22" s="199"/>
      <c r="T22" s="199"/>
      <c r="U22" s="176"/>
    </row>
    <row r="23" spans="1:23" ht="38.25" customHeight="1">
      <c r="A23" s="29" t="s">
        <v>134</v>
      </c>
      <c r="B23" s="183"/>
      <c r="C23" s="127"/>
      <c r="D23" s="127"/>
      <c r="E23" s="127"/>
      <c r="F23" s="127"/>
      <c r="G23" s="192"/>
      <c r="H23" s="190"/>
      <c r="I23" s="190"/>
      <c r="J23" s="119"/>
      <c r="K23" s="31"/>
      <c r="L23" s="183"/>
      <c r="M23" s="38" t="str">
        <f t="shared" ref="M23" si="18">IF(L23="","",L23)</f>
        <v/>
      </c>
      <c r="N23" s="117"/>
      <c r="O23" s="38" t="str">
        <f t="shared" ref="O23" si="19">IF(M23="","",M23*$N$9)</f>
        <v/>
      </c>
      <c r="P23" s="119"/>
      <c r="Q23" s="115"/>
      <c r="R23" s="115"/>
      <c r="S23" s="200"/>
      <c r="T23" s="200"/>
      <c r="U23" s="178"/>
    </row>
    <row r="24" spans="1:23">
      <c r="A24" s="36"/>
      <c r="B24" s="36"/>
      <c r="C24" s="36"/>
      <c r="D24" s="36"/>
      <c r="E24" s="36"/>
      <c r="F24" s="36"/>
      <c r="G24" s="35" t="s">
        <v>14</v>
      </c>
      <c r="H24" s="13">
        <f t="shared" ref="H24:J24" si="20">SUM(H9:H23)</f>
        <v>0</v>
      </c>
      <c r="I24" s="13">
        <f t="shared" si="20"/>
        <v>0</v>
      </c>
      <c r="J24" s="13">
        <f t="shared" si="20"/>
        <v>0</v>
      </c>
      <c r="K24" s="13"/>
      <c r="L24" s="13"/>
      <c r="M24" s="13">
        <f t="shared" ref="M24:P24" si="21">SUM(M9:M23)</f>
        <v>0</v>
      </c>
      <c r="N24" s="16"/>
      <c r="O24" s="13">
        <f t="shared" ref="O24" si="22">SUM(O9:O23)</f>
        <v>0</v>
      </c>
      <c r="P24" s="13">
        <f t="shared" si="21"/>
        <v>0</v>
      </c>
      <c r="Q24" s="13">
        <f t="shared" ref="Q24" si="23">SUM(Q9:Q23)</f>
        <v>0</v>
      </c>
      <c r="R24" s="13">
        <f>SUM(R9:R23)</f>
        <v>0</v>
      </c>
      <c r="S24" s="13">
        <f t="shared" ref="S24:T24" si="24">SUM(S9:S23)</f>
        <v>0</v>
      </c>
      <c r="T24" s="13">
        <f t="shared" si="24"/>
        <v>0</v>
      </c>
      <c r="U24" s="13">
        <f>SUM(U9:U23)</f>
        <v>0</v>
      </c>
      <c r="W24" s="6">
        <f>SUM(W9:W23)</f>
        <v>0</v>
      </c>
    </row>
    <row r="25" spans="1:23" ht="37.65" customHeight="1">
      <c r="A25" s="26" t="str">
        <f>IF(W24&gt;3,"！同一の使用目的で補助できる機種は1種類限りです！","")</f>
        <v/>
      </c>
    </row>
    <row r="26" spans="1:23" ht="37.65" customHeight="1"/>
    <row r="27" spans="1:23" ht="37.65" customHeight="1"/>
    <row r="28" spans="1:23" ht="37.65" customHeight="1"/>
    <row r="29" spans="1:23" ht="37.65" customHeight="1"/>
  </sheetData>
  <sheetProtection algorithmName="SHA-512" hashValue="L+KRaFMYPjOfQ8tiLuziZvuF0Yt7Eh/Ouhl4Mbak+Nv0bnnkLaDV+mPFKdmSeTdJJpWYYsipJKRWT81BcKl9rw==" saltValue="mFAVOR6PQmQy7G9SI6zAHw==" spinCount="100000" sheet="1" objects="1" scenarios="1"/>
  <mergeCells count="40">
    <mergeCell ref="S9:S23"/>
    <mergeCell ref="T9:T23"/>
    <mergeCell ref="U9:U23"/>
    <mergeCell ref="I9:I13"/>
    <mergeCell ref="J9:J13"/>
    <mergeCell ref="H14:H18"/>
    <mergeCell ref="I14:I18"/>
    <mergeCell ref="J14:J18"/>
    <mergeCell ref="S1:U1"/>
    <mergeCell ref="S2:U2"/>
    <mergeCell ref="S3:U3"/>
    <mergeCell ref="S4:U4"/>
    <mergeCell ref="S5:U5"/>
    <mergeCell ref="R14:R18"/>
    <mergeCell ref="P19:P23"/>
    <mergeCell ref="F10:F13"/>
    <mergeCell ref="Q19:Q23"/>
    <mergeCell ref="R19:R23"/>
    <mergeCell ref="P14:P18"/>
    <mergeCell ref="Q14:Q18"/>
    <mergeCell ref="G9:G23"/>
    <mergeCell ref="P9:P13"/>
    <mergeCell ref="N9:N23"/>
    <mergeCell ref="Q9:Q13"/>
    <mergeCell ref="R9:R13"/>
    <mergeCell ref="H19:H23"/>
    <mergeCell ref="I19:I23"/>
    <mergeCell ref="J19:J23"/>
    <mergeCell ref="H9:H13"/>
    <mergeCell ref="F20:F23"/>
    <mergeCell ref="E20:E23"/>
    <mergeCell ref="D20:D23"/>
    <mergeCell ref="D15:D18"/>
    <mergeCell ref="E15:E18"/>
    <mergeCell ref="F15:F18"/>
    <mergeCell ref="C10:C13"/>
    <mergeCell ref="C15:C18"/>
    <mergeCell ref="C20:C23"/>
    <mergeCell ref="E10:E13"/>
    <mergeCell ref="D10:D13"/>
  </mergeCells>
  <phoneticPr fontId="1"/>
  <conditionalFormatting sqref="M9:N9 M13:N13 M14 N14:N23 M18:M19 M23">
    <cfRule type="expression" dxfId="6" priority="1">
      <formula>$M9="台数上限を超えています"</formula>
    </cfRule>
  </conditionalFormatting>
  <dataValidations xWindow="408" yWindow="523" count="5">
    <dataValidation type="list" allowBlank="1" showInputMessage="1" sqref="A9:A23" xr:uid="{FC831DB2-0A72-4853-954A-E261AF86E18E}">
      <formula1>"移乗支援（装着）,移乗支援（非装着）,移動支援（屋外）,移動支援（屋内）,移動支援（装着）,排泄支援（排泄物処理）,排泄物（排泄予測、検知）,排泄支援（動作支援）,見守り・コミュニケーション（施設）,見守り・コミュニケーション（在宅）,見守り・コミュニケーション（コミュニケーション）,入浴支援,介護業務支援,機能訓練支援,食事・栄養管理支援,認知症生活支援・認知症ケア支援"</formula1>
    </dataValidation>
    <dataValidation type="list" allowBlank="1" showInputMessage="1" showErrorMessage="1" sqref="E9 E14 E19" xr:uid="{619D3970-DBE8-443D-A758-F60A33C95202}">
      <formula1>"職員数により合計金額が変動する,職員数により合計金額が変動しない"</formula1>
    </dataValidation>
    <dataValidation type="list" allowBlank="1" showInputMessage="1" showErrorMessage="1" sqref="F9 F14 F19" xr:uid="{15CE8A93-70A3-4222-99DF-3505F8E6B617}">
      <formula1>"5事業所以上とデータ連携を実施,,"</formula1>
    </dataValidation>
    <dataValidation allowBlank="1" showInputMessage="1" showErrorMessage="1" prompt="情報端末の1台あたりの金額に補助率3/4を乗じて10万円を超える場合、10万円までが補助対象額となります。" sqref="L10:L12 L15:L17 L20:L22" xr:uid="{ED2B7665-3CCC-43C5-A6C6-3CF344483947}"/>
    <dataValidation type="list" allowBlank="1" showInputMessage="1" showErrorMessage="1" sqref="C9 C14 C19" xr:uid="{7BB481F5-B488-4486-9B0F-63462238BD78}">
      <formula1>"有,無"</formula1>
    </dataValidation>
  </dataValidations>
  <pageMargins left="0.7" right="0.7" top="0.75" bottom="0.75" header="0.3" footer="0.3"/>
  <pageSetup paperSize="9" scale="24" orientation="portrait" r:id="rId1"/>
  <extLst>
    <ext xmlns:x14="http://schemas.microsoft.com/office/spreadsheetml/2009/9/main" uri="{CCE6A557-97BC-4b89-ADB6-D9C93CAAB3DF}">
      <x14:dataValidations xmlns:xm="http://schemas.microsoft.com/office/excel/2006/main" xWindow="408" yWindow="523" count="2">
        <x14:dataValidation type="list" allowBlank="1" showInputMessage="1" prompt="その他を選択した場合は、（）内に具体的な使用目的を記載してください。" xr:uid="{65B8FDED-A46F-492F-AC28-2CD2DFC3310E}">
          <x14:formula1>
            <xm:f>データリスト!$C$3:$C$10</xm:f>
          </x14:formula1>
          <xm:sqref>D9 D14 D19</xm:sqref>
        </x14:dataValidation>
        <x14:dataValidation type="list" allowBlank="1" showInputMessage="1" showErrorMessage="1" xr:uid="{4F4C3AC7-2A7D-4F26-B9F6-86C1A086AEA9}">
          <x14:formula1>
            <xm:f>データリスト!$A$2:$A$55</xm:f>
          </x14:formula1>
          <xm:sqref>S4:U4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EFDB1-4AA1-4FD2-A07F-1AD9092006A2}">
  <sheetPr codeName="Sheet6"/>
  <dimension ref="A1:W29"/>
  <sheetViews>
    <sheetView view="pageBreakPreview" topLeftCell="D1" zoomScale="75" zoomScaleNormal="70" zoomScaleSheetLayoutView="75" workbookViewId="0">
      <selection activeCell="S1" sqref="S1:U5"/>
    </sheetView>
  </sheetViews>
  <sheetFormatPr defaultColWidth="8.83203125" defaultRowHeight="18"/>
  <cols>
    <col min="1" max="1" width="25.83203125" style="6" customWidth="1"/>
    <col min="2" max="2" width="26.08203125" style="6" bestFit="1" customWidth="1"/>
    <col min="3" max="3" width="10.4140625" style="6" customWidth="1"/>
    <col min="4" max="4" width="32.58203125" style="6" customWidth="1"/>
    <col min="5" max="5" width="23" style="6" customWidth="1"/>
    <col min="6" max="6" width="22.33203125" style="6" customWidth="1"/>
    <col min="7" max="7" width="6.83203125" style="6" bestFit="1" customWidth="1"/>
    <col min="8" max="10" width="13.58203125" style="6" customWidth="1"/>
    <col min="11" max="11" width="8.58203125" style="6" bestFit="1" customWidth="1"/>
    <col min="12" max="12" width="13" style="6" customWidth="1"/>
    <col min="13" max="13" width="21.83203125" style="6" customWidth="1"/>
    <col min="14" max="14" width="6.83203125" style="6" bestFit="1" customWidth="1"/>
    <col min="15" max="15" width="13.58203125" style="6" customWidth="1"/>
    <col min="16" max="16" width="13.6640625" style="6" customWidth="1"/>
    <col min="17" max="17" width="13" style="6" customWidth="1"/>
    <col min="18" max="18" width="13.83203125" style="6" bestFit="1" customWidth="1"/>
    <col min="19" max="21" width="13.83203125" style="6" customWidth="1"/>
    <col min="22" max="22" width="36.6640625" style="6" customWidth="1"/>
    <col min="23" max="23" width="5.6640625" style="6" customWidth="1"/>
    <col min="24" max="16384" width="8.83203125" style="6"/>
  </cols>
  <sheetData>
    <row r="1" spans="1:23">
      <c r="A1" s="6" t="s">
        <v>25</v>
      </c>
      <c r="N1" s="9"/>
      <c r="R1" s="9" t="s">
        <v>28</v>
      </c>
      <c r="S1" s="110"/>
      <c r="T1" s="110"/>
      <c r="U1" s="110"/>
    </row>
    <row r="2" spans="1:23">
      <c r="A2" s="6" t="s">
        <v>206</v>
      </c>
      <c r="N2" s="9"/>
      <c r="R2" s="9" t="s">
        <v>29</v>
      </c>
      <c r="S2" s="111"/>
      <c r="T2" s="111"/>
      <c r="U2" s="111"/>
    </row>
    <row r="3" spans="1:23">
      <c r="N3" s="9"/>
      <c r="R3" s="9" t="s">
        <v>30</v>
      </c>
      <c r="S3" s="111"/>
      <c r="T3" s="111"/>
      <c r="U3" s="111"/>
    </row>
    <row r="4" spans="1:23">
      <c r="A4" s="7" t="s">
        <v>166</v>
      </c>
      <c r="B4" s="7"/>
      <c r="E4" s="8"/>
      <c r="F4" s="8"/>
      <c r="N4" s="9"/>
      <c r="R4" s="9" t="s">
        <v>31</v>
      </c>
      <c r="S4" s="112"/>
      <c r="T4" s="112"/>
      <c r="U4" s="112"/>
    </row>
    <row r="5" spans="1:23">
      <c r="N5" s="9"/>
      <c r="R5" s="9" t="s">
        <v>32</v>
      </c>
      <c r="S5" s="111"/>
      <c r="T5" s="111"/>
      <c r="U5" s="111"/>
    </row>
    <row r="6" spans="1:23" ht="40" customHeight="1">
      <c r="C6" s="99"/>
      <c r="H6" s="55" t="s">
        <v>142</v>
      </c>
      <c r="I6" s="55" t="s">
        <v>143</v>
      </c>
      <c r="J6" s="55" t="s">
        <v>144</v>
      </c>
      <c r="K6" s="55" t="s">
        <v>145</v>
      </c>
      <c r="L6" s="55" t="s">
        <v>146</v>
      </c>
      <c r="M6" s="55" t="s">
        <v>147</v>
      </c>
      <c r="N6" s="55"/>
      <c r="O6" s="55" t="s">
        <v>148</v>
      </c>
      <c r="P6" s="55" t="s">
        <v>162</v>
      </c>
      <c r="Q6" s="55" t="s">
        <v>150</v>
      </c>
      <c r="R6" s="46" t="s">
        <v>160</v>
      </c>
      <c r="S6" s="55" t="s">
        <v>195</v>
      </c>
      <c r="T6" s="55" t="s">
        <v>201</v>
      </c>
      <c r="U6" s="46" t="s">
        <v>202</v>
      </c>
      <c r="V6" s="46"/>
    </row>
    <row r="7" spans="1:23" s="1" customFormat="1" ht="54" customHeight="1">
      <c r="A7" s="85" t="s">
        <v>2</v>
      </c>
      <c r="B7" s="85" t="s">
        <v>136</v>
      </c>
      <c r="C7" s="85" t="s">
        <v>130</v>
      </c>
      <c r="D7" s="85" t="s">
        <v>26</v>
      </c>
      <c r="E7" s="85" t="s">
        <v>139</v>
      </c>
      <c r="F7" s="85" t="s">
        <v>138</v>
      </c>
      <c r="G7" s="85" t="s">
        <v>18</v>
      </c>
      <c r="H7" s="85" t="s">
        <v>141</v>
      </c>
      <c r="I7" s="85" t="s">
        <v>128</v>
      </c>
      <c r="J7" s="85" t="s">
        <v>129</v>
      </c>
      <c r="K7" s="85" t="s">
        <v>9</v>
      </c>
      <c r="L7" s="85" t="s">
        <v>135</v>
      </c>
      <c r="M7" s="85" t="s">
        <v>8</v>
      </c>
      <c r="N7" s="85" t="s">
        <v>10</v>
      </c>
      <c r="O7" s="85" t="s">
        <v>158</v>
      </c>
      <c r="P7" s="85" t="s">
        <v>159</v>
      </c>
      <c r="Q7" s="85" t="s">
        <v>127</v>
      </c>
      <c r="R7" s="85" t="s">
        <v>193</v>
      </c>
      <c r="S7" s="85" t="s">
        <v>199</v>
      </c>
      <c r="T7" s="85" t="s">
        <v>200</v>
      </c>
      <c r="U7" s="85" t="s">
        <v>203</v>
      </c>
    </row>
    <row r="8" spans="1:23" s="1" customFormat="1" ht="18" customHeight="1">
      <c r="A8" s="92"/>
      <c r="B8" s="92"/>
      <c r="C8" s="89"/>
      <c r="D8" s="92"/>
      <c r="E8" s="92"/>
      <c r="F8" s="92"/>
      <c r="G8" s="92" t="s">
        <v>190</v>
      </c>
      <c r="H8" s="92" t="s">
        <v>191</v>
      </c>
      <c r="I8" s="92" t="s">
        <v>191</v>
      </c>
      <c r="J8" s="92" t="s">
        <v>191</v>
      </c>
      <c r="K8" s="92" t="s">
        <v>192</v>
      </c>
      <c r="L8" s="92" t="s">
        <v>191</v>
      </c>
      <c r="M8" s="92" t="s">
        <v>191</v>
      </c>
      <c r="N8" s="92"/>
      <c r="O8" s="92" t="s">
        <v>191</v>
      </c>
      <c r="P8" s="92" t="s">
        <v>191</v>
      </c>
      <c r="Q8" s="92" t="s">
        <v>191</v>
      </c>
      <c r="R8" s="90" t="s">
        <v>191</v>
      </c>
      <c r="S8" s="90" t="s">
        <v>191</v>
      </c>
      <c r="T8" s="90" t="s">
        <v>191</v>
      </c>
      <c r="U8" s="97" t="s">
        <v>191</v>
      </c>
    </row>
    <row r="9" spans="1:23" ht="38.25" customHeight="1">
      <c r="A9" s="32" t="s">
        <v>17</v>
      </c>
      <c r="B9" s="57" t="s">
        <v>180</v>
      </c>
      <c r="C9" s="100" t="s">
        <v>169</v>
      </c>
      <c r="D9" s="58" t="s">
        <v>120</v>
      </c>
      <c r="E9" s="62" t="s">
        <v>181</v>
      </c>
      <c r="F9" s="62" t="s">
        <v>137</v>
      </c>
      <c r="G9" s="134">
        <v>31</v>
      </c>
      <c r="H9" s="132">
        <v>4400000</v>
      </c>
      <c r="I9" s="132">
        <v>0</v>
      </c>
      <c r="J9" s="121">
        <f>IF(H9="","",H9-I9)</f>
        <v>4400000</v>
      </c>
      <c r="K9" s="33"/>
      <c r="L9" s="57">
        <v>1000000</v>
      </c>
      <c r="M9" s="21">
        <f>IF(L9="","",L9)</f>
        <v>1000000</v>
      </c>
      <c r="N9" s="133">
        <v>0.75</v>
      </c>
      <c r="O9" s="21">
        <f>IF(M9="","",M9*$N$9)</f>
        <v>750000</v>
      </c>
      <c r="P9" s="121">
        <f>IF(L9="","",ROUNDDOWN(SUM(O9:O13),-3))</f>
        <v>3050000</v>
      </c>
      <c r="Q9" s="120">
        <f>IF(P9="","",IF(E9="",0,IF(E9="職員数により合計金額が変動しない",IF(F9="5事業所以上とデータ連携を実施",2550000,2500000),IF(F9="5事業所以上とデータ連携を実施",IF($G$9&lt;=10,1050000,IF($G$9&lt;=20,1550000,IF($G$9&lt;=30,2050000,2550000))),IF($G$9&lt;=10,1000000,IF($G$9&lt;=20,1500000,IF($G$9&lt;=30,2000000,2500000)))))))</f>
        <v>2550000</v>
      </c>
      <c r="R9" s="120">
        <f>IF(Q9="","",ROUNDDOWN(MIN(J9,P9,Q9),-3))</f>
        <v>2550000</v>
      </c>
      <c r="S9" s="161">
        <v>2550000</v>
      </c>
      <c r="T9" s="161">
        <v>0</v>
      </c>
      <c r="U9" s="177">
        <f>IF(S9="","",IF(R24&gt;S9,S9-T9,R24-T9))</f>
        <v>2550000</v>
      </c>
      <c r="V9" s="6" t="str">
        <f>CONCATENATE(A9,D9)</f>
        <v>介護ソフト記録業務に要する時間の短縮</v>
      </c>
      <c r="W9" s="6">
        <f>IF(D9="","",IF(V9="","",COUNTIF($V$9:$V$23,V9)))</f>
        <v>1</v>
      </c>
    </row>
    <row r="10" spans="1:23" ht="38.25" customHeight="1">
      <c r="A10" s="30" t="s">
        <v>131</v>
      </c>
      <c r="B10" s="59" t="s">
        <v>170</v>
      </c>
      <c r="C10" s="125"/>
      <c r="D10" s="125"/>
      <c r="E10" s="125"/>
      <c r="F10" s="125"/>
      <c r="G10" s="128"/>
      <c r="H10" s="130"/>
      <c r="I10" s="130"/>
      <c r="J10" s="118"/>
      <c r="K10" s="59">
        <v>5</v>
      </c>
      <c r="L10" s="59">
        <v>100000</v>
      </c>
      <c r="M10" s="28">
        <f>IF(K10="","",K10*L10)</f>
        <v>500000</v>
      </c>
      <c r="N10" s="116"/>
      <c r="O10" s="28">
        <f>IF(M10="","",IF(L10*$N$9&gt;100000,100000*K10,M10*$N$9))</f>
        <v>375000</v>
      </c>
      <c r="P10" s="118"/>
      <c r="Q10" s="114"/>
      <c r="R10" s="114"/>
      <c r="S10" s="162"/>
      <c r="T10" s="162"/>
      <c r="U10" s="176"/>
    </row>
    <row r="11" spans="1:23" ht="38.25" customHeight="1">
      <c r="A11" s="30" t="s">
        <v>132</v>
      </c>
      <c r="B11" s="59" t="s">
        <v>171</v>
      </c>
      <c r="C11" s="126"/>
      <c r="D11" s="126"/>
      <c r="E11" s="126"/>
      <c r="F11" s="126"/>
      <c r="G11" s="128"/>
      <c r="H11" s="130"/>
      <c r="I11" s="130"/>
      <c r="J11" s="118"/>
      <c r="K11" s="59">
        <v>5</v>
      </c>
      <c r="L11" s="59">
        <v>80000</v>
      </c>
      <c r="M11" s="28">
        <f t="shared" ref="M11:M12" si="0">IF(K11="","",K11*L11)</f>
        <v>400000</v>
      </c>
      <c r="N11" s="116"/>
      <c r="O11" s="28">
        <f t="shared" ref="O11:O12" si="1">IF(M11="","",IF(L11*$N$9&gt;100000,100000*K11,M11*$N$9))</f>
        <v>300000</v>
      </c>
      <c r="P11" s="118"/>
      <c r="Q11" s="114"/>
      <c r="R11" s="114"/>
      <c r="S11" s="162"/>
      <c r="T11" s="162"/>
      <c r="U11" s="176"/>
    </row>
    <row r="12" spans="1:23" ht="38.25" customHeight="1">
      <c r="A12" s="30" t="s">
        <v>133</v>
      </c>
      <c r="B12" s="59" t="s">
        <v>172</v>
      </c>
      <c r="C12" s="126"/>
      <c r="D12" s="126"/>
      <c r="E12" s="126"/>
      <c r="F12" s="126"/>
      <c r="G12" s="128"/>
      <c r="H12" s="130"/>
      <c r="I12" s="130"/>
      <c r="J12" s="118"/>
      <c r="K12" s="59">
        <v>5</v>
      </c>
      <c r="L12" s="59">
        <v>200000</v>
      </c>
      <c r="M12" s="28">
        <f t="shared" si="0"/>
        <v>1000000</v>
      </c>
      <c r="N12" s="116"/>
      <c r="O12" s="28">
        <f t="shared" si="1"/>
        <v>500000</v>
      </c>
      <c r="P12" s="118"/>
      <c r="Q12" s="114"/>
      <c r="R12" s="114"/>
      <c r="S12" s="162"/>
      <c r="T12" s="162"/>
      <c r="U12" s="176"/>
    </row>
    <row r="13" spans="1:23" ht="38.25" customHeight="1">
      <c r="A13" s="29" t="s">
        <v>134</v>
      </c>
      <c r="B13" s="60" t="s">
        <v>173</v>
      </c>
      <c r="C13" s="127"/>
      <c r="D13" s="127"/>
      <c r="E13" s="127"/>
      <c r="F13" s="127"/>
      <c r="G13" s="128"/>
      <c r="H13" s="131"/>
      <c r="I13" s="131"/>
      <c r="J13" s="119"/>
      <c r="K13" s="31"/>
      <c r="L13" s="60">
        <v>1500000</v>
      </c>
      <c r="M13" s="52">
        <f>IF(L13="","",L13)</f>
        <v>1500000</v>
      </c>
      <c r="N13" s="116"/>
      <c r="O13" s="52">
        <f>IF(M13="","",M13*$N$9)</f>
        <v>1125000</v>
      </c>
      <c r="P13" s="119"/>
      <c r="Q13" s="115"/>
      <c r="R13" s="115"/>
      <c r="S13" s="162"/>
      <c r="T13" s="162"/>
      <c r="U13" s="176"/>
    </row>
    <row r="14" spans="1:23" ht="38.25" customHeight="1">
      <c r="A14" s="32" t="s">
        <v>17</v>
      </c>
      <c r="B14" s="17"/>
      <c r="C14" s="101"/>
      <c r="D14" s="18"/>
      <c r="E14" s="34"/>
      <c r="F14" s="34"/>
      <c r="G14" s="128"/>
      <c r="H14" s="132"/>
      <c r="I14" s="132"/>
      <c r="J14" s="121" t="str">
        <f t="shared" ref="J14" si="2">IF(H14="","",H14-I14)</f>
        <v/>
      </c>
      <c r="K14" s="33"/>
      <c r="L14" s="17"/>
      <c r="M14" s="21" t="str">
        <f t="shared" ref="M14" si="3">IF(L14="","",L14)</f>
        <v/>
      </c>
      <c r="N14" s="116"/>
      <c r="O14" s="21" t="str">
        <f t="shared" ref="O14" si="4">IF(M14="","",M14*$N$9)</f>
        <v/>
      </c>
      <c r="P14" s="121" t="str">
        <f t="shared" ref="P14" si="5">IF(L14="","",ROUNDDOWN(SUM(O14:O18),-3))</f>
        <v/>
      </c>
      <c r="Q14" s="120" t="str">
        <f t="shared" ref="Q14" si="6">IF(P14="","",IF(E14="",0,IF(E14="職員数により合計金額が変動しない",IF(F14="5事業所以上とデータ連携を実施",2550000,2500000),IF(F14="5事業所以上とデータ連携を実施",IF($G$9&lt;=10,1050000,IF($G$9&lt;=20,1550000,IF($G$9&lt;=30,2050000,2550000))),IF($G$9&lt;=10,1000000,IF($G$9&lt;=20,1500000,IF($G$9&lt;=30,2000000,2500000)))))))</f>
        <v/>
      </c>
      <c r="R14" s="120" t="str">
        <f t="shared" ref="R14" si="7">IF(Q14="","",ROUNDDOWN(MIN(J14,P14,Q14),-3))</f>
        <v/>
      </c>
      <c r="S14" s="162"/>
      <c r="T14" s="162"/>
      <c r="U14" s="176"/>
      <c r="V14" s="6" t="str">
        <f>CONCATENATE(A14,D14)</f>
        <v>介護ソフト</v>
      </c>
      <c r="W14" s="6" t="str">
        <f>IF(D14="","",IF(V14="","",COUNTIF($V$9:$V$23,V14)))</f>
        <v/>
      </c>
    </row>
    <row r="15" spans="1:23" ht="38.25" customHeight="1">
      <c r="A15" s="30" t="s">
        <v>131</v>
      </c>
      <c r="B15" s="27"/>
      <c r="C15" s="125"/>
      <c r="D15" s="125"/>
      <c r="E15" s="125"/>
      <c r="F15" s="125"/>
      <c r="G15" s="128"/>
      <c r="H15" s="130"/>
      <c r="I15" s="130"/>
      <c r="J15" s="118"/>
      <c r="K15" s="27"/>
      <c r="L15" s="27"/>
      <c r="M15" s="28" t="str">
        <f t="shared" ref="M15:M22" si="8">IF(K15="","",K15*L15)</f>
        <v/>
      </c>
      <c r="N15" s="116"/>
      <c r="O15" s="28" t="str">
        <f t="shared" ref="O15:O22" si="9">IF(M15="","",IF(L15*$N$9&gt;100000,100000*K15,M15*$N$9))</f>
        <v/>
      </c>
      <c r="P15" s="118"/>
      <c r="Q15" s="114"/>
      <c r="R15" s="114"/>
      <c r="S15" s="162"/>
      <c r="T15" s="162"/>
      <c r="U15" s="176"/>
    </row>
    <row r="16" spans="1:23" ht="38.25" customHeight="1">
      <c r="A16" s="30" t="s">
        <v>132</v>
      </c>
      <c r="B16" s="27"/>
      <c r="C16" s="126"/>
      <c r="D16" s="126"/>
      <c r="E16" s="126"/>
      <c r="F16" s="126"/>
      <c r="G16" s="128"/>
      <c r="H16" s="130"/>
      <c r="I16" s="130"/>
      <c r="J16" s="118"/>
      <c r="K16" s="27"/>
      <c r="L16" s="27"/>
      <c r="M16" s="28" t="str">
        <f t="shared" si="8"/>
        <v/>
      </c>
      <c r="N16" s="116"/>
      <c r="O16" s="28" t="str">
        <f t="shared" si="9"/>
        <v/>
      </c>
      <c r="P16" s="118"/>
      <c r="Q16" s="114"/>
      <c r="R16" s="114"/>
      <c r="S16" s="162"/>
      <c r="T16" s="162"/>
      <c r="U16" s="176"/>
    </row>
    <row r="17" spans="1:23" ht="38.25" customHeight="1">
      <c r="A17" s="30" t="s">
        <v>133</v>
      </c>
      <c r="B17" s="27"/>
      <c r="C17" s="126"/>
      <c r="D17" s="126"/>
      <c r="E17" s="126"/>
      <c r="F17" s="126"/>
      <c r="G17" s="128"/>
      <c r="H17" s="130"/>
      <c r="I17" s="130"/>
      <c r="J17" s="118"/>
      <c r="K17" s="27"/>
      <c r="L17" s="27"/>
      <c r="M17" s="28" t="str">
        <f t="shared" si="8"/>
        <v/>
      </c>
      <c r="N17" s="116"/>
      <c r="O17" s="28" t="str">
        <f t="shared" si="9"/>
        <v/>
      </c>
      <c r="P17" s="118"/>
      <c r="Q17" s="114"/>
      <c r="R17" s="114"/>
      <c r="S17" s="162"/>
      <c r="T17" s="162"/>
      <c r="U17" s="176"/>
    </row>
    <row r="18" spans="1:23" ht="38.25" customHeight="1">
      <c r="A18" s="29" t="s">
        <v>134</v>
      </c>
      <c r="B18" s="54"/>
      <c r="C18" s="127"/>
      <c r="D18" s="127"/>
      <c r="E18" s="127"/>
      <c r="F18" s="127"/>
      <c r="G18" s="128"/>
      <c r="H18" s="131"/>
      <c r="I18" s="131"/>
      <c r="J18" s="119"/>
      <c r="K18" s="31"/>
      <c r="L18" s="54"/>
      <c r="M18" s="52" t="str">
        <f t="shared" ref="M18:M19" si="10">IF(L18="","",L18)</f>
        <v/>
      </c>
      <c r="N18" s="116"/>
      <c r="O18" s="52" t="str">
        <f t="shared" ref="O18:O19" si="11">IF(M18="","",M18*$N$9)</f>
        <v/>
      </c>
      <c r="P18" s="119"/>
      <c r="Q18" s="115"/>
      <c r="R18" s="115"/>
      <c r="S18" s="162"/>
      <c r="T18" s="162"/>
      <c r="U18" s="176"/>
    </row>
    <row r="19" spans="1:23" ht="38.25" customHeight="1">
      <c r="A19" s="32" t="s">
        <v>17</v>
      </c>
      <c r="B19" s="17"/>
      <c r="C19" s="101"/>
      <c r="D19" s="18"/>
      <c r="E19" s="34"/>
      <c r="F19" s="34"/>
      <c r="G19" s="128"/>
      <c r="H19" s="132"/>
      <c r="I19" s="132"/>
      <c r="J19" s="121" t="str">
        <f t="shared" ref="J19" si="12">IF(H19="","",H19-I19)</f>
        <v/>
      </c>
      <c r="K19" s="33"/>
      <c r="L19" s="17"/>
      <c r="M19" s="21" t="str">
        <f t="shared" si="10"/>
        <v/>
      </c>
      <c r="N19" s="116"/>
      <c r="O19" s="21" t="str">
        <f t="shared" si="11"/>
        <v/>
      </c>
      <c r="P19" s="121" t="str">
        <f t="shared" ref="P19" si="13">IF(L19="","",ROUNDDOWN(SUM(O19:O23),-3))</f>
        <v/>
      </c>
      <c r="Q19" s="120" t="str">
        <f t="shared" ref="Q19" si="14">IF(P19="","",IF(E19="",0,IF(E19="職員数により合計金額が変動しない",IF(F19="5事業所以上とデータ連携を実施",2550000,2500000),IF(F19="5事業所以上とデータ連携を実施",IF($G$9&lt;=10,1050000,IF($G$9&lt;=20,1550000,IF($G$9&lt;=30,2050000,2550000))),IF($G$9&lt;=10,1000000,IF($G$9&lt;=20,1500000,IF($G$9&lt;=30,2000000,2500000)))))))</f>
        <v/>
      </c>
      <c r="R19" s="120" t="str">
        <f t="shared" ref="R19" si="15">IF(Q19="","",ROUNDDOWN(MIN(J19,P19,Q19),-3))</f>
        <v/>
      </c>
      <c r="S19" s="162"/>
      <c r="T19" s="162"/>
      <c r="U19" s="176"/>
      <c r="V19" s="6" t="str">
        <f>CONCATENATE(A19,D19)</f>
        <v>介護ソフト</v>
      </c>
      <c r="W19" s="6" t="str">
        <f>IF(D19="","",IF(V19="","",COUNTIF($V$9:$V$23,V19)))</f>
        <v/>
      </c>
    </row>
    <row r="20" spans="1:23" ht="38.25" customHeight="1">
      <c r="A20" s="30" t="s">
        <v>131</v>
      </c>
      <c r="B20" s="27"/>
      <c r="C20" s="125"/>
      <c r="D20" s="125"/>
      <c r="E20" s="125"/>
      <c r="F20" s="125"/>
      <c r="G20" s="128"/>
      <c r="H20" s="130"/>
      <c r="I20" s="130"/>
      <c r="J20" s="118"/>
      <c r="K20" s="27"/>
      <c r="L20" s="27"/>
      <c r="M20" s="28" t="str">
        <f t="shared" ref="M20" si="16">IF(K20="","",K20*L20)</f>
        <v/>
      </c>
      <c r="N20" s="116"/>
      <c r="O20" s="28" t="str">
        <f t="shared" ref="O20" si="17">IF(M20="","",IF(L20*$N$9&gt;100000,100000*K20,M20*$N$9))</f>
        <v/>
      </c>
      <c r="P20" s="118"/>
      <c r="Q20" s="114"/>
      <c r="R20" s="114"/>
      <c r="S20" s="162"/>
      <c r="T20" s="162"/>
      <c r="U20" s="176"/>
    </row>
    <row r="21" spans="1:23" ht="38.25" customHeight="1">
      <c r="A21" s="30" t="s">
        <v>132</v>
      </c>
      <c r="B21" s="27"/>
      <c r="C21" s="126"/>
      <c r="D21" s="126"/>
      <c r="E21" s="126"/>
      <c r="F21" s="126"/>
      <c r="G21" s="128"/>
      <c r="H21" s="130"/>
      <c r="I21" s="130"/>
      <c r="J21" s="118"/>
      <c r="K21" s="27"/>
      <c r="L21" s="27"/>
      <c r="M21" s="28" t="str">
        <f t="shared" si="8"/>
        <v/>
      </c>
      <c r="N21" s="116"/>
      <c r="O21" s="28" t="str">
        <f t="shared" si="9"/>
        <v/>
      </c>
      <c r="P21" s="118"/>
      <c r="Q21" s="114"/>
      <c r="R21" s="114"/>
      <c r="S21" s="162"/>
      <c r="T21" s="162"/>
      <c r="U21" s="176"/>
    </row>
    <row r="22" spans="1:23" ht="38.25" customHeight="1">
      <c r="A22" s="30" t="s">
        <v>133</v>
      </c>
      <c r="B22" s="27"/>
      <c r="C22" s="126"/>
      <c r="D22" s="126"/>
      <c r="E22" s="126"/>
      <c r="F22" s="126"/>
      <c r="G22" s="128"/>
      <c r="H22" s="130"/>
      <c r="I22" s="130"/>
      <c r="J22" s="118"/>
      <c r="K22" s="27"/>
      <c r="L22" s="27"/>
      <c r="M22" s="28" t="str">
        <f t="shared" si="8"/>
        <v/>
      </c>
      <c r="N22" s="116"/>
      <c r="O22" s="28" t="str">
        <f t="shared" si="9"/>
        <v/>
      </c>
      <c r="P22" s="118"/>
      <c r="Q22" s="114"/>
      <c r="R22" s="114"/>
      <c r="S22" s="162"/>
      <c r="T22" s="162"/>
      <c r="U22" s="176"/>
    </row>
    <row r="23" spans="1:23" ht="38.25" customHeight="1">
      <c r="A23" s="29" t="s">
        <v>134</v>
      </c>
      <c r="B23" s="54"/>
      <c r="C23" s="127"/>
      <c r="D23" s="127"/>
      <c r="E23" s="127"/>
      <c r="F23" s="127"/>
      <c r="G23" s="129"/>
      <c r="H23" s="131"/>
      <c r="I23" s="131"/>
      <c r="J23" s="119"/>
      <c r="K23" s="31"/>
      <c r="L23" s="54"/>
      <c r="M23" s="52" t="str">
        <f t="shared" ref="M23" si="18">IF(L23="","",L23)</f>
        <v/>
      </c>
      <c r="N23" s="117"/>
      <c r="O23" s="52" t="str">
        <f t="shared" ref="O23" si="19">IF(M23="","",M23*$N$9)</f>
        <v/>
      </c>
      <c r="P23" s="119"/>
      <c r="Q23" s="115"/>
      <c r="R23" s="115"/>
      <c r="S23" s="163"/>
      <c r="T23" s="163"/>
      <c r="U23" s="178"/>
    </row>
    <row r="24" spans="1:23">
      <c r="A24" s="36"/>
      <c r="B24" s="36"/>
      <c r="C24" s="36"/>
      <c r="D24" s="36"/>
      <c r="E24" s="36"/>
      <c r="F24" s="36"/>
      <c r="G24" s="35" t="s">
        <v>14</v>
      </c>
      <c r="H24" s="13">
        <f t="shared" ref="H24:J24" si="20">SUM(H9:H23)</f>
        <v>4400000</v>
      </c>
      <c r="I24" s="13">
        <f t="shared" si="20"/>
        <v>0</v>
      </c>
      <c r="J24" s="13">
        <f t="shared" si="20"/>
        <v>4400000</v>
      </c>
      <c r="K24" s="13"/>
      <c r="L24" s="13"/>
      <c r="M24" s="13">
        <f t="shared" ref="M24:Q24" si="21">SUM(M9:M23)</f>
        <v>4400000</v>
      </c>
      <c r="N24" s="16"/>
      <c r="O24" s="13">
        <f t="shared" ref="O24" si="22">SUM(O9:O23)</f>
        <v>3050000</v>
      </c>
      <c r="P24" s="13">
        <f t="shared" si="21"/>
        <v>3050000</v>
      </c>
      <c r="Q24" s="13">
        <f t="shared" si="21"/>
        <v>2550000</v>
      </c>
      <c r="R24" s="13">
        <f>SUM(R9:R23)</f>
        <v>2550000</v>
      </c>
      <c r="S24" s="13">
        <f t="shared" ref="S24:T24" si="23">SUM(S9:S23)</f>
        <v>2550000</v>
      </c>
      <c r="T24" s="13">
        <f t="shared" si="23"/>
        <v>0</v>
      </c>
      <c r="U24" s="13">
        <f>SUM(U9:U23)</f>
        <v>2550000</v>
      </c>
      <c r="W24" s="6">
        <f>SUM(W9:W23)</f>
        <v>1</v>
      </c>
    </row>
    <row r="25" spans="1:23" ht="37.65" customHeight="1">
      <c r="A25" s="26" t="str">
        <f>IF(W24&gt;3,"！同一の使用目的で補助できる機種は1種類限りです！","")</f>
        <v/>
      </c>
    </row>
    <row r="26" spans="1:23" ht="37.65" customHeight="1"/>
    <row r="27" spans="1:23" ht="37.65" customHeight="1"/>
    <row r="28" spans="1:23" ht="37.65" customHeight="1"/>
    <row r="29" spans="1:23" ht="37.65" customHeight="1"/>
  </sheetData>
  <mergeCells count="40">
    <mergeCell ref="S9:S23"/>
    <mergeCell ref="T9:T23"/>
    <mergeCell ref="U9:U23"/>
    <mergeCell ref="R14:R18"/>
    <mergeCell ref="F15:F18"/>
    <mergeCell ref="D10:D13"/>
    <mergeCell ref="R9:R13"/>
    <mergeCell ref="R19:R23"/>
    <mergeCell ref="D20:D23"/>
    <mergeCell ref="E20:E23"/>
    <mergeCell ref="F20:F23"/>
    <mergeCell ref="J19:J23"/>
    <mergeCell ref="H19:H23"/>
    <mergeCell ref="I19:I23"/>
    <mergeCell ref="G9:G23"/>
    <mergeCell ref="H14:H18"/>
    <mergeCell ref="I14:I18"/>
    <mergeCell ref="H9:H13"/>
    <mergeCell ref="I9:I13"/>
    <mergeCell ref="S1:U1"/>
    <mergeCell ref="S2:U2"/>
    <mergeCell ref="S3:U3"/>
    <mergeCell ref="S4:U4"/>
    <mergeCell ref="S5:U5"/>
    <mergeCell ref="C10:C13"/>
    <mergeCell ref="C15:C18"/>
    <mergeCell ref="C20:C23"/>
    <mergeCell ref="P9:P13"/>
    <mergeCell ref="Q9:Q13"/>
    <mergeCell ref="D15:D18"/>
    <mergeCell ref="E15:E18"/>
    <mergeCell ref="E10:E13"/>
    <mergeCell ref="F10:F13"/>
    <mergeCell ref="N9:N23"/>
    <mergeCell ref="J14:J18"/>
    <mergeCell ref="P14:P18"/>
    <mergeCell ref="Q14:Q18"/>
    <mergeCell ref="Q19:Q23"/>
    <mergeCell ref="P19:P23"/>
    <mergeCell ref="J9:J13"/>
  </mergeCells>
  <phoneticPr fontId="1"/>
  <conditionalFormatting sqref="M9:N9 M13:N13 M14 N14:N23 M18:M19 M23">
    <cfRule type="expression" dxfId="5" priority="1">
      <formula>$M9="台数上限を超えています"</formula>
    </cfRule>
  </conditionalFormatting>
  <dataValidations count="5">
    <dataValidation allowBlank="1" showInputMessage="1" showErrorMessage="1" prompt="情報端末の1台あたりの金額に補助率3/4を乗じて10万円を超える場合、10万円までが補助対象額となります。" sqref="L20:L22 L15:L17 L10:L12" xr:uid="{2A31A389-95F5-4F10-B79C-87A3648C48B9}"/>
    <dataValidation type="list" allowBlank="1" showInputMessage="1" showErrorMessage="1" sqref="F9 F14 F19" xr:uid="{4DF9BD56-0EA5-4A6C-81D1-2857C11F885B}">
      <formula1>"5事業所以上とデータ連携を実施,,"</formula1>
    </dataValidation>
    <dataValidation type="list" allowBlank="1" showInputMessage="1" showErrorMessage="1" sqref="E9 E14 E19" xr:uid="{EAF64DE7-4B0E-48C6-BDF7-0FFC06A7B929}">
      <formula1>"職員数により合計金額が変動する,職員数により合計金額が変動しない"</formula1>
    </dataValidation>
    <dataValidation type="list" allowBlank="1" showInputMessage="1" sqref="A9:A23" xr:uid="{877DDC7A-EB86-4D1E-B27D-D14C32BCE6A6}">
      <formula1>"移乗支援（装着）,移乗支援（非装着）,移動支援（屋外）,移動支援（屋内）,移動支援（装着）,排泄支援（排泄物処理）,排泄物（排泄予測、検知）,排泄支援（動作支援）,見守り・コミュニケーション（施設）,見守り・コミュニケーション（在宅）,見守り・コミュニケーション（コミュニケーション）,入浴支援,介護業務支援,機能訓練支援,食事・栄養管理支援,認知症生活支援・認知症ケア支援"</formula1>
    </dataValidation>
    <dataValidation type="list" allowBlank="1" showInputMessage="1" showErrorMessage="1" sqref="C9 C14 C19" xr:uid="{E2D38D60-A2CF-4227-ADA7-3C860FE524F3}">
      <formula1>"有,無"</formula1>
    </dataValidation>
  </dataValidations>
  <pageMargins left="0.7" right="0.7" top="0.75" bottom="0.75" header="0.3" footer="0.3"/>
  <pageSetup paperSize="9" scale="24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prompt="その他を選択した場合は、（）内に具体的な使用目的を記載してください。" xr:uid="{37656C8B-232E-42D3-9EAE-38CBFADD617F}">
          <x14:formula1>
            <xm:f>データリスト!$C$3:$C$10</xm:f>
          </x14:formula1>
          <xm:sqref>D9 D14 D19</xm:sqref>
        </x14:dataValidation>
        <x14:dataValidation type="list" allowBlank="1" showInputMessage="1" showErrorMessage="1" xr:uid="{95822CCD-B495-4A9B-833F-0F85CF60BEF3}">
          <x14:formula1>
            <xm:f>データリスト!$A$2:$A$55</xm:f>
          </x14:formula1>
          <xm:sqref>S4:U4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C599C-E0EE-461C-B610-97C318CE0AF5}">
  <sheetPr codeName="Sheet7"/>
  <dimension ref="A1:V29"/>
  <sheetViews>
    <sheetView view="pageBreakPreview" zoomScale="75" zoomScaleNormal="70" zoomScaleSheetLayoutView="75" workbookViewId="0">
      <selection activeCell="R4" sqref="R4:T4"/>
    </sheetView>
  </sheetViews>
  <sheetFormatPr defaultColWidth="8.83203125" defaultRowHeight="18"/>
  <cols>
    <col min="1" max="1" width="25.83203125" style="6" customWidth="1"/>
    <col min="2" max="2" width="26.08203125" style="6" bestFit="1" customWidth="1"/>
    <col min="3" max="3" width="10.4140625" style="6" customWidth="1"/>
    <col min="4" max="4" width="32.58203125" style="6" customWidth="1"/>
    <col min="5" max="5" width="23" style="6" customWidth="1"/>
    <col min="6" max="6" width="6.83203125" style="6" bestFit="1" customWidth="1"/>
    <col min="7" max="9" width="13.58203125" style="6" customWidth="1"/>
    <col min="10" max="10" width="8.58203125" style="6" bestFit="1" customWidth="1"/>
    <col min="11" max="11" width="13" style="6" customWidth="1"/>
    <col min="12" max="12" width="21.83203125" style="6" customWidth="1"/>
    <col min="13" max="13" width="6.83203125" style="6" bestFit="1" customWidth="1"/>
    <col min="14" max="14" width="13.58203125" style="6" customWidth="1"/>
    <col min="15" max="15" width="13.6640625" style="6" customWidth="1"/>
    <col min="16" max="16" width="13" style="6" customWidth="1"/>
    <col min="17" max="17" width="13.83203125" style="6" bestFit="1" customWidth="1"/>
    <col min="18" max="20" width="13.83203125" style="6" customWidth="1"/>
    <col min="21" max="21" width="36.6640625" style="6" customWidth="1"/>
    <col min="22" max="22" width="5.6640625" style="6" customWidth="1"/>
    <col min="23" max="16384" width="8.83203125" style="6"/>
  </cols>
  <sheetData>
    <row r="1" spans="1:22">
      <c r="A1" s="6" t="s">
        <v>186</v>
      </c>
      <c r="M1" s="9"/>
      <c r="Q1" s="9" t="s">
        <v>28</v>
      </c>
      <c r="R1" s="194"/>
      <c r="S1" s="194"/>
      <c r="T1" s="194"/>
    </row>
    <row r="2" spans="1:22">
      <c r="A2" s="6" t="s">
        <v>206</v>
      </c>
      <c r="M2" s="9"/>
      <c r="Q2" s="9" t="s">
        <v>29</v>
      </c>
      <c r="R2" s="195"/>
      <c r="S2" s="195"/>
      <c r="T2" s="195"/>
    </row>
    <row r="3" spans="1:22">
      <c r="M3" s="9"/>
      <c r="Q3" s="9" t="s">
        <v>30</v>
      </c>
      <c r="R3" s="195"/>
      <c r="S3" s="195"/>
      <c r="T3" s="195"/>
    </row>
    <row r="4" spans="1:22">
      <c r="A4" s="7" t="s">
        <v>166</v>
      </c>
      <c r="B4" s="7"/>
      <c r="E4" s="8"/>
      <c r="M4" s="9"/>
      <c r="Q4" s="9" t="s">
        <v>31</v>
      </c>
      <c r="R4" s="196"/>
      <c r="S4" s="196"/>
      <c r="T4" s="196"/>
    </row>
    <row r="5" spans="1:22">
      <c r="M5" s="9"/>
      <c r="Q5" s="9" t="s">
        <v>32</v>
      </c>
      <c r="R5" s="195"/>
      <c r="S5" s="195"/>
      <c r="T5" s="195"/>
    </row>
    <row r="6" spans="1:22" ht="40" customHeight="1">
      <c r="A6" s="77"/>
      <c r="C6" s="99"/>
      <c r="G6" s="40" t="s">
        <v>142</v>
      </c>
      <c r="H6" s="40" t="s">
        <v>143</v>
      </c>
      <c r="I6" s="40" t="s">
        <v>144</v>
      </c>
      <c r="J6" s="40" t="s">
        <v>145</v>
      </c>
      <c r="K6" s="40" t="s">
        <v>146</v>
      </c>
      <c r="L6" s="40" t="s">
        <v>147</v>
      </c>
      <c r="M6" s="40"/>
      <c r="N6" s="40" t="s">
        <v>148</v>
      </c>
      <c r="O6" s="40" t="s">
        <v>162</v>
      </c>
      <c r="P6" s="40" t="s">
        <v>150</v>
      </c>
      <c r="Q6" s="46" t="s">
        <v>194</v>
      </c>
      <c r="R6" s="55" t="s">
        <v>195</v>
      </c>
      <c r="S6" s="55" t="s">
        <v>201</v>
      </c>
      <c r="T6" s="46" t="s">
        <v>202</v>
      </c>
    </row>
    <row r="7" spans="1:22" s="1" customFormat="1" ht="54" customHeight="1">
      <c r="A7" s="85" t="s">
        <v>2</v>
      </c>
      <c r="B7" s="85" t="s">
        <v>136</v>
      </c>
      <c r="C7" s="85" t="s">
        <v>130</v>
      </c>
      <c r="D7" s="85" t="s">
        <v>26</v>
      </c>
      <c r="E7" s="85" t="s">
        <v>139</v>
      </c>
      <c r="F7" s="85" t="s">
        <v>18</v>
      </c>
      <c r="G7" s="85" t="s">
        <v>141</v>
      </c>
      <c r="H7" s="85" t="s">
        <v>128</v>
      </c>
      <c r="I7" s="85" t="s">
        <v>129</v>
      </c>
      <c r="J7" s="85" t="s">
        <v>9</v>
      </c>
      <c r="K7" s="85" t="s">
        <v>135</v>
      </c>
      <c r="L7" s="85" t="s">
        <v>8</v>
      </c>
      <c r="M7" s="85" t="s">
        <v>10</v>
      </c>
      <c r="N7" s="85" t="s">
        <v>158</v>
      </c>
      <c r="O7" s="85" t="s">
        <v>159</v>
      </c>
      <c r="P7" s="85" t="s">
        <v>127</v>
      </c>
      <c r="Q7" s="85" t="s">
        <v>193</v>
      </c>
      <c r="R7" s="85" t="s">
        <v>199</v>
      </c>
      <c r="S7" s="85" t="s">
        <v>200</v>
      </c>
      <c r="T7" s="85" t="s">
        <v>203</v>
      </c>
    </row>
    <row r="8" spans="1:22" s="1" customFormat="1" ht="18" customHeight="1">
      <c r="A8" s="91"/>
      <c r="B8" s="91"/>
      <c r="C8" s="89"/>
      <c r="D8" s="91"/>
      <c r="E8" s="91"/>
      <c r="F8" s="92" t="s">
        <v>190</v>
      </c>
      <c r="G8" s="92" t="s">
        <v>191</v>
      </c>
      <c r="H8" s="92" t="s">
        <v>191</v>
      </c>
      <c r="I8" s="92" t="s">
        <v>191</v>
      </c>
      <c r="J8" s="92" t="s">
        <v>192</v>
      </c>
      <c r="K8" s="92" t="s">
        <v>191</v>
      </c>
      <c r="L8" s="92" t="s">
        <v>191</v>
      </c>
      <c r="M8" s="92"/>
      <c r="N8" s="92" t="s">
        <v>191</v>
      </c>
      <c r="O8" s="92" t="s">
        <v>191</v>
      </c>
      <c r="P8" s="92" t="s">
        <v>191</v>
      </c>
      <c r="Q8" s="92" t="s">
        <v>191</v>
      </c>
      <c r="R8" s="90" t="s">
        <v>191</v>
      </c>
      <c r="S8" s="90" t="s">
        <v>191</v>
      </c>
      <c r="T8" s="97" t="s">
        <v>191</v>
      </c>
    </row>
    <row r="9" spans="1:22" ht="38.25" customHeight="1">
      <c r="A9" s="32" t="s">
        <v>17</v>
      </c>
      <c r="B9" s="184"/>
      <c r="C9" s="185"/>
      <c r="D9" s="187"/>
      <c r="E9" s="197"/>
      <c r="F9" s="193"/>
      <c r="G9" s="191"/>
      <c r="H9" s="191"/>
      <c r="I9" s="121" t="str">
        <f>IF(G9="","",G9-H9)</f>
        <v/>
      </c>
      <c r="J9" s="33"/>
      <c r="K9" s="184"/>
      <c r="L9" s="21" t="str">
        <f>IF(K9="","",K9)</f>
        <v/>
      </c>
      <c r="M9" s="133">
        <v>0.75</v>
      </c>
      <c r="N9" s="21" t="str">
        <f>IF(L9="","",L9*$M$9)</f>
        <v/>
      </c>
      <c r="O9" s="121" t="str">
        <f>IF(K9="","",ROUNDDOWN(SUM(N9:N13),-3))</f>
        <v/>
      </c>
      <c r="P9" s="120" t="str">
        <f>IF(O9="","",IF(F9="",0,IF(E9="職員数により合計金額が変動しない",2500000,IF($F$9&lt;=10,1000000,IF($F$9&lt;=20,1500000,IF($F$9&lt;=30,2000000,2500000))))))</f>
        <v/>
      </c>
      <c r="Q9" s="120" t="str">
        <f>IF(P9="","",ROUNDDOWN(MIN(I9,O9,P9),-3))</f>
        <v/>
      </c>
      <c r="R9" s="198"/>
      <c r="S9" s="198"/>
      <c r="T9" s="177" t="str">
        <f>IF(R9="","",IF(Q24&gt;R9,R9-S9,Q24-S9))</f>
        <v/>
      </c>
      <c r="U9" s="6" t="str">
        <f>CONCATENATE(A9,D9)</f>
        <v>介護ソフト</v>
      </c>
      <c r="V9" s="6" t="str">
        <f>IF(D9="","",IF(U9="","",COUNTIF($U$9:$U$23,U9)))</f>
        <v/>
      </c>
    </row>
    <row r="10" spans="1:22" ht="38.25" customHeight="1">
      <c r="A10" s="30" t="s">
        <v>131</v>
      </c>
      <c r="B10" s="182"/>
      <c r="C10" s="125"/>
      <c r="D10" s="125"/>
      <c r="E10" s="125"/>
      <c r="F10" s="188"/>
      <c r="G10" s="189"/>
      <c r="H10" s="189"/>
      <c r="I10" s="118"/>
      <c r="J10" s="182"/>
      <c r="K10" s="182"/>
      <c r="L10" s="28" t="str">
        <f>IF(J10="","",J10*K10)</f>
        <v/>
      </c>
      <c r="M10" s="116"/>
      <c r="N10" s="28" t="str">
        <f>IF(L10="","",IF(K10*$M$9&gt;100000,100000*J10,L10*$M$9))</f>
        <v/>
      </c>
      <c r="O10" s="118"/>
      <c r="P10" s="114"/>
      <c r="Q10" s="114"/>
      <c r="R10" s="199"/>
      <c r="S10" s="199"/>
      <c r="T10" s="176"/>
    </row>
    <row r="11" spans="1:22" ht="38.25" customHeight="1">
      <c r="A11" s="30" t="s">
        <v>132</v>
      </c>
      <c r="B11" s="182"/>
      <c r="C11" s="126"/>
      <c r="D11" s="126"/>
      <c r="E11" s="126"/>
      <c r="F11" s="188"/>
      <c r="G11" s="189"/>
      <c r="H11" s="189"/>
      <c r="I11" s="118"/>
      <c r="J11" s="182"/>
      <c r="K11" s="182"/>
      <c r="L11" s="28" t="str">
        <f t="shared" ref="L11:L12" si="0">IF(J11="","",J11*K11)</f>
        <v/>
      </c>
      <c r="M11" s="116"/>
      <c r="N11" s="28" t="str">
        <f t="shared" ref="N11:N12" si="1">IF(L11="","",IF(K11*$M$9&gt;100000,100000*J11,L11*$M$9))</f>
        <v/>
      </c>
      <c r="O11" s="118"/>
      <c r="P11" s="114"/>
      <c r="Q11" s="114"/>
      <c r="R11" s="199"/>
      <c r="S11" s="199"/>
      <c r="T11" s="176"/>
    </row>
    <row r="12" spans="1:22" ht="38.25" customHeight="1">
      <c r="A12" s="30" t="s">
        <v>133</v>
      </c>
      <c r="B12" s="182"/>
      <c r="C12" s="126"/>
      <c r="D12" s="126"/>
      <c r="E12" s="126"/>
      <c r="F12" s="188"/>
      <c r="G12" s="189"/>
      <c r="H12" s="189"/>
      <c r="I12" s="118"/>
      <c r="J12" s="182"/>
      <c r="K12" s="182"/>
      <c r="L12" s="28" t="str">
        <f t="shared" si="0"/>
        <v/>
      </c>
      <c r="M12" s="116"/>
      <c r="N12" s="28" t="str">
        <f t="shared" si="1"/>
        <v/>
      </c>
      <c r="O12" s="118"/>
      <c r="P12" s="114"/>
      <c r="Q12" s="114"/>
      <c r="R12" s="199"/>
      <c r="S12" s="199"/>
      <c r="T12" s="176"/>
    </row>
    <row r="13" spans="1:22" ht="38.25" customHeight="1">
      <c r="A13" s="29" t="s">
        <v>134</v>
      </c>
      <c r="B13" s="183"/>
      <c r="C13" s="127"/>
      <c r="D13" s="127"/>
      <c r="E13" s="127"/>
      <c r="F13" s="188"/>
      <c r="G13" s="190"/>
      <c r="H13" s="190"/>
      <c r="I13" s="119"/>
      <c r="J13" s="31"/>
      <c r="K13" s="183"/>
      <c r="L13" s="38" t="str">
        <f>IF(K13="","",K13)</f>
        <v/>
      </c>
      <c r="M13" s="116"/>
      <c r="N13" s="38" t="str">
        <f>IF(L13="","",L13*$M$9)</f>
        <v/>
      </c>
      <c r="O13" s="119"/>
      <c r="P13" s="115"/>
      <c r="Q13" s="115"/>
      <c r="R13" s="199"/>
      <c r="S13" s="199"/>
      <c r="T13" s="176"/>
    </row>
    <row r="14" spans="1:22" ht="38.25" customHeight="1">
      <c r="A14" s="32" t="s">
        <v>17</v>
      </c>
      <c r="B14" s="184"/>
      <c r="C14" s="185"/>
      <c r="D14" s="187"/>
      <c r="E14" s="197"/>
      <c r="F14" s="188"/>
      <c r="G14" s="191"/>
      <c r="H14" s="191"/>
      <c r="I14" s="121" t="str">
        <f t="shared" ref="I14" si="2">IF(G14="","",G14-H14)</f>
        <v/>
      </c>
      <c r="J14" s="33"/>
      <c r="K14" s="184"/>
      <c r="L14" s="21" t="str">
        <f t="shared" ref="L14" si="3">IF(K14="","",K14)</f>
        <v/>
      </c>
      <c r="M14" s="116"/>
      <c r="N14" s="21" t="str">
        <f t="shared" ref="N14" si="4">IF(L14="","",L14*$M$9)</f>
        <v/>
      </c>
      <c r="O14" s="121" t="str">
        <f t="shared" ref="O14" si="5">IF(K14="","",ROUNDDOWN(SUM(N14:N18),-3))</f>
        <v/>
      </c>
      <c r="P14" s="120" t="str">
        <f t="shared" ref="P14" si="6">IF(O14="","",IF(F14="",0,IF(E14="職員数により合計金額が変動しない",2500000,IF($F$9&lt;=10,1000000,IF($F$9&lt;=20,1500000,IF($F$9&lt;=30,2000000,2500000))))))</f>
        <v/>
      </c>
      <c r="Q14" s="120" t="str">
        <f t="shared" ref="Q14" si="7">IF(P14="","",ROUNDDOWN(MIN(I14,O14,P14),-3))</f>
        <v/>
      </c>
      <c r="R14" s="199"/>
      <c r="S14" s="199"/>
      <c r="T14" s="176"/>
      <c r="U14" s="6" t="str">
        <f>CONCATENATE(A14,D14)</f>
        <v>介護ソフト</v>
      </c>
      <c r="V14" s="6" t="str">
        <f>IF(D14="","",IF(U14="","",COUNTIF($U$9:$U$23,U14)))</f>
        <v/>
      </c>
    </row>
    <row r="15" spans="1:22" ht="38.25" customHeight="1">
      <c r="A15" s="30" t="s">
        <v>131</v>
      </c>
      <c r="B15" s="182"/>
      <c r="C15" s="125"/>
      <c r="D15" s="125"/>
      <c r="E15" s="125"/>
      <c r="F15" s="188"/>
      <c r="G15" s="189"/>
      <c r="H15" s="189"/>
      <c r="I15" s="118"/>
      <c r="J15" s="182"/>
      <c r="K15" s="182"/>
      <c r="L15" s="28" t="str">
        <f t="shared" ref="L15:L22" si="8">IF(J15="","",J15*K15)</f>
        <v/>
      </c>
      <c r="M15" s="116"/>
      <c r="N15" s="28" t="str">
        <f t="shared" ref="N15:N22" si="9">IF(L15="","",IF(K15*$M$9&gt;100000,100000*J15,L15*$M$9))</f>
        <v/>
      </c>
      <c r="O15" s="118"/>
      <c r="P15" s="114"/>
      <c r="Q15" s="114"/>
      <c r="R15" s="199"/>
      <c r="S15" s="199"/>
      <c r="T15" s="176"/>
    </row>
    <row r="16" spans="1:22" ht="38.25" customHeight="1">
      <c r="A16" s="30" t="s">
        <v>132</v>
      </c>
      <c r="B16" s="182"/>
      <c r="C16" s="126"/>
      <c r="D16" s="126"/>
      <c r="E16" s="126"/>
      <c r="F16" s="188"/>
      <c r="G16" s="189"/>
      <c r="H16" s="189"/>
      <c r="I16" s="118"/>
      <c r="J16" s="182"/>
      <c r="K16" s="182"/>
      <c r="L16" s="28" t="str">
        <f t="shared" si="8"/>
        <v/>
      </c>
      <c r="M16" s="116"/>
      <c r="N16" s="28" t="str">
        <f t="shared" si="9"/>
        <v/>
      </c>
      <c r="O16" s="118"/>
      <c r="P16" s="114"/>
      <c r="Q16" s="114"/>
      <c r="R16" s="199"/>
      <c r="S16" s="199"/>
      <c r="T16" s="176"/>
    </row>
    <row r="17" spans="1:22" ht="38.25" customHeight="1">
      <c r="A17" s="30" t="s">
        <v>133</v>
      </c>
      <c r="B17" s="182"/>
      <c r="C17" s="126"/>
      <c r="D17" s="126"/>
      <c r="E17" s="126"/>
      <c r="F17" s="188"/>
      <c r="G17" s="189"/>
      <c r="H17" s="189"/>
      <c r="I17" s="118"/>
      <c r="J17" s="182"/>
      <c r="K17" s="182"/>
      <c r="L17" s="28" t="str">
        <f t="shared" si="8"/>
        <v/>
      </c>
      <c r="M17" s="116"/>
      <c r="N17" s="28" t="str">
        <f t="shared" si="9"/>
        <v/>
      </c>
      <c r="O17" s="118"/>
      <c r="P17" s="114"/>
      <c r="Q17" s="114"/>
      <c r="R17" s="199"/>
      <c r="S17" s="199"/>
      <c r="T17" s="176"/>
    </row>
    <row r="18" spans="1:22" ht="38.25" customHeight="1">
      <c r="A18" s="29" t="s">
        <v>134</v>
      </c>
      <c r="B18" s="183"/>
      <c r="C18" s="127"/>
      <c r="D18" s="127"/>
      <c r="E18" s="127"/>
      <c r="F18" s="188"/>
      <c r="G18" s="190"/>
      <c r="H18" s="190"/>
      <c r="I18" s="119"/>
      <c r="J18" s="31"/>
      <c r="K18" s="183"/>
      <c r="L18" s="38" t="str">
        <f t="shared" ref="L18:L19" si="10">IF(K18="","",K18)</f>
        <v/>
      </c>
      <c r="M18" s="116"/>
      <c r="N18" s="38" t="str">
        <f t="shared" ref="N18:N19" si="11">IF(L18="","",L18*$M$9)</f>
        <v/>
      </c>
      <c r="O18" s="119"/>
      <c r="P18" s="115"/>
      <c r="Q18" s="115"/>
      <c r="R18" s="199"/>
      <c r="S18" s="199"/>
      <c r="T18" s="176"/>
    </row>
    <row r="19" spans="1:22" ht="38.25" customHeight="1">
      <c r="A19" s="32" t="s">
        <v>17</v>
      </c>
      <c r="B19" s="184"/>
      <c r="C19" s="185"/>
      <c r="D19" s="187"/>
      <c r="E19" s="197"/>
      <c r="F19" s="188"/>
      <c r="G19" s="191"/>
      <c r="H19" s="191"/>
      <c r="I19" s="121" t="str">
        <f t="shared" ref="I19" si="12">IF(G19="","",G19-H19)</f>
        <v/>
      </c>
      <c r="J19" s="33"/>
      <c r="K19" s="184"/>
      <c r="L19" s="21" t="str">
        <f t="shared" si="10"/>
        <v/>
      </c>
      <c r="M19" s="116"/>
      <c r="N19" s="21" t="str">
        <f t="shared" si="11"/>
        <v/>
      </c>
      <c r="O19" s="121" t="str">
        <f t="shared" ref="O19" si="13">IF(K19="","",ROUNDDOWN(SUM(N19:N23),-3))</f>
        <v/>
      </c>
      <c r="P19" s="120" t="str">
        <f t="shared" ref="P19" si="14">IF(O19="","",IF(F19="",0,IF(E19="職員数により合計金額が変動しない",2500000,IF($F$9&lt;=10,1000000,IF($F$9&lt;=20,1500000,IF($F$9&lt;=30,2000000,2500000))))))</f>
        <v/>
      </c>
      <c r="Q19" s="120" t="str">
        <f t="shared" ref="Q19" si="15">IF(P19="","",ROUNDDOWN(MIN(I19,O19,P19),-3))</f>
        <v/>
      </c>
      <c r="R19" s="199"/>
      <c r="S19" s="199"/>
      <c r="T19" s="176"/>
      <c r="U19" s="6" t="str">
        <f>CONCATENATE(A19,D19)</f>
        <v>介護ソフト</v>
      </c>
      <c r="V19" s="6" t="str">
        <f>IF(D19="","",IF(U19="","",COUNTIF($U$9:$U$23,U19)))</f>
        <v/>
      </c>
    </row>
    <row r="20" spans="1:22" ht="38.25" customHeight="1">
      <c r="A20" s="30" t="s">
        <v>131</v>
      </c>
      <c r="B20" s="182"/>
      <c r="C20" s="125"/>
      <c r="D20" s="125"/>
      <c r="E20" s="125"/>
      <c r="F20" s="188"/>
      <c r="G20" s="189"/>
      <c r="H20" s="189"/>
      <c r="I20" s="118"/>
      <c r="J20" s="182"/>
      <c r="K20" s="182"/>
      <c r="L20" s="28" t="str">
        <f t="shared" ref="L20" si="16">IF(J20="","",J20*K20)</f>
        <v/>
      </c>
      <c r="M20" s="116"/>
      <c r="N20" s="28" t="str">
        <f t="shared" ref="N20" si="17">IF(L20="","",IF(K20*$M$9&gt;100000,100000*J20,L20*$M$9))</f>
        <v/>
      </c>
      <c r="O20" s="118"/>
      <c r="P20" s="114"/>
      <c r="Q20" s="114"/>
      <c r="R20" s="199"/>
      <c r="S20" s="199"/>
      <c r="T20" s="176"/>
    </row>
    <row r="21" spans="1:22" ht="38.25" customHeight="1">
      <c r="A21" s="30" t="s">
        <v>132</v>
      </c>
      <c r="B21" s="182"/>
      <c r="C21" s="126"/>
      <c r="D21" s="126"/>
      <c r="E21" s="126"/>
      <c r="F21" s="188"/>
      <c r="G21" s="189"/>
      <c r="H21" s="189"/>
      <c r="I21" s="118"/>
      <c r="J21" s="182"/>
      <c r="K21" s="182"/>
      <c r="L21" s="28" t="str">
        <f t="shared" si="8"/>
        <v/>
      </c>
      <c r="M21" s="116"/>
      <c r="N21" s="28" t="str">
        <f t="shared" si="9"/>
        <v/>
      </c>
      <c r="O21" s="118"/>
      <c r="P21" s="114"/>
      <c r="Q21" s="114"/>
      <c r="R21" s="199"/>
      <c r="S21" s="199"/>
      <c r="T21" s="176"/>
    </row>
    <row r="22" spans="1:22" ht="38.25" customHeight="1">
      <c r="A22" s="30" t="s">
        <v>133</v>
      </c>
      <c r="B22" s="182"/>
      <c r="C22" s="126"/>
      <c r="D22" s="126"/>
      <c r="E22" s="126"/>
      <c r="F22" s="188"/>
      <c r="G22" s="189"/>
      <c r="H22" s="189"/>
      <c r="I22" s="118"/>
      <c r="J22" s="182"/>
      <c r="K22" s="182"/>
      <c r="L22" s="28" t="str">
        <f t="shared" si="8"/>
        <v/>
      </c>
      <c r="M22" s="116"/>
      <c r="N22" s="28" t="str">
        <f t="shared" si="9"/>
        <v/>
      </c>
      <c r="O22" s="118"/>
      <c r="P22" s="114"/>
      <c r="Q22" s="114"/>
      <c r="R22" s="199"/>
      <c r="S22" s="199"/>
      <c r="T22" s="176"/>
    </row>
    <row r="23" spans="1:22" ht="38.25" customHeight="1">
      <c r="A23" s="29" t="s">
        <v>134</v>
      </c>
      <c r="B23" s="183"/>
      <c r="C23" s="127"/>
      <c r="D23" s="127"/>
      <c r="E23" s="127"/>
      <c r="F23" s="192"/>
      <c r="G23" s="190"/>
      <c r="H23" s="190"/>
      <c r="I23" s="119"/>
      <c r="J23" s="31"/>
      <c r="K23" s="183"/>
      <c r="L23" s="38" t="str">
        <f t="shared" ref="L23" si="18">IF(K23="","",K23)</f>
        <v/>
      </c>
      <c r="M23" s="117"/>
      <c r="N23" s="38" t="str">
        <f t="shared" ref="N23" si="19">IF(L23="","",L23*$M$9)</f>
        <v/>
      </c>
      <c r="O23" s="119"/>
      <c r="P23" s="115"/>
      <c r="Q23" s="115"/>
      <c r="R23" s="200"/>
      <c r="S23" s="200"/>
      <c r="T23" s="178"/>
    </row>
    <row r="24" spans="1:22">
      <c r="A24" s="36"/>
      <c r="B24" s="36"/>
      <c r="C24" s="36"/>
      <c r="D24" s="36"/>
      <c r="E24" s="36"/>
      <c r="F24" s="35" t="s">
        <v>14</v>
      </c>
      <c r="G24" s="13">
        <f t="shared" ref="G24:I24" si="20">SUM(G9:G23)</f>
        <v>0</v>
      </c>
      <c r="H24" s="13">
        <f t="shared" si="20"/>
        <v>0</v>
      </c>
      <c r="I24" s="13">
        <f t="shared" si="20"/>
        <v>0</v>
      </c>
      <c r="J24" s="13"/>
      <c r="K24" s="13"/>
      <c r="L24" s="13">
        <f t="shared" ref="L24:O24" si="21">SUM(L9:L23)</f>
        <v>0</v>
      </c>
      <c r="M24" s="16"/>
      <c r="N24" s="13">
        <f t="shared" ref="N24" si="22">SUM(N9:N23)</f>
        <v>0</v>
      </c>
      <c r="O24" s="13">
        <f t="shared" si="21"/>
        <v>0</v>
      </c>
      <c r="P24" s="13">
        <f t="shared" ref="P24" si="23">SUM(P9:P23)</f>
        <v>0</v>
      </c>
      <c r="Q24" s="13">
        <f>SUM(Q9:Q23)</f>
        <v>0</v>
      </c>
      <c r="R24" s="13">
        <f t="shared" ref="R24:S24" si="24">SUM(R9:R23)</f>
        <v>0</v>
      </c>
      <c r="S24" s="13">
        <f t="shared" si="24"/>
        <v>0</v>
      </c>
      <c r="T24" s="13">
        <f>SUM(T9:T23)</f>
        <v>0</v>
      </c>
      <c r="V24" s="6">
        <f>SUM(V9:V23)</f>
        <v>0</v>
      </c>
    </row>
    <row r="25" spans="1:22" ht="37.65" customHeight="1">
      <c r="A25" s="26" t="str">
        <f>IF(V24&gt;3,"！同一の使用目的で補助できる機種は1種類限りです！","")</f>
        <v/>
      </c>
    </row>
    <row r="26" spans="1:22" ht="37.65" customHeight="1"/>
    <row r="27" spans="1:22" ht="37.65" customHeight="1"/>
    <row r="28" spans="1:22" ht="37.65" customHeight="1"/>
    <row r="29" spans="1:22" ht="37.65" customHeight="1"/>
  </sheetData>
  <sheetProtection algorithmName="SHA-512" hashValue="IjzJTjwg/67WBcJlT01oqGyKY9WkC2ul1YRzT5xkdQDhjrXKg0XL9tsoUGi9yfi/g655Fp9mnG0jqbN5BMZdnA==" saltValue="1yTBiTobNQU+/34fiP/U3w==" spinCount="100000" sheet="1" objects="1" scenarios="1"/>
  <mergeCells count="37">
    <mergeCell ref="R9:R23"/>
    <mergeCell ref="S9:S23"/>
    <mergeCell ref="T9:T23"/>
    <mergeCell ref="F9:F23"/>
    <mergeCell ref="G9:G13"/>
    <mergeCell ref="H9:H13"/>
    <mergeCell ref="I9:I13"/>
    <mergeCell ref="M9:M23"/>
    <mergeCell ref="R1:T1"/>
    <mergeCell ref="R2:T2"/>
    <mergeCell ref="R3:T3"/>
    <mergeCell ref="R4:T4"/>
    <mergeCell ref="R5:T5"/>
    <mergeCell ref="Q19:Q23"/>
    <mergeCell ref="O9:O13"/>
    <mergeCell ref="P9:P13"/>
    <mergeCell ref="Q9:Q13"/>
    <mergeCell ref="G14:G18"/>
    <mergeCell ref="H14:H18"/>
    <mergeCell ref="I14:I18"/>
    <mergeCell ref="O14:O18"/>
    <mergeCell ref="P14:P18"/>
    <mergeCell ref="Q14:Q18"/>
    <mergeCell ref="G19:G23"/>
    <mergeCell ref="H19:H23"/>
    <mergeCell ref="I19:I23"/>
    <mergeCell ref="O19:O23"/>
    <mergeCell ref="P19:P23"/>
    <mergeCell ref="C10:C13"/>
    <mergeCell ref="C15:C18"/>
    <mergeCell ref="C20:C23"/>
    <mergeCell ref="E20:E23"/>
    <mergeCell ref="D20:D23"/>
    <mergeCell ref="E15:E18"/>
    <mergeCell ref="D15:D18"/>
    <mergeCell ref="E10:E13"/>
    <mergeCell ref="D10:D13"/>
  </mergeCells>
  <phoneticPr fontId="1"/>
  <conditionalFormatting sqref="L9:M9 L13:M13 L14 M14:M23 L18:L19 L23">
    <cfRule type="expression" dxfId="4" priority="1">
      <formula>$L9="台数上限を超えています"</formula>
    </cfRule>
  </conditionalFormatting>
  <dataValidations count="4">
    <dataValidation type="list" allowBlank="1" showInputMessage="1" showErrorMessage="1" sqref="E9 E14 E19" xr:uid="{C8028597-2333-4E6A-A836-FE946E159CF7}">
      <formula1>"職員数により合計金額が変動する,職員数により合計金額が変動しない"</formula1>
    </dataValidation>
    <dataValidation type="list" allowBlank="1" showInputMessage="1" sqref="A9:A23" xr:uid="{C25D2312-4514-4EEB-AB74-D02B1B376ACE}">
      <formula1>"移乗支援（装着）,移乗支援（非装着）,移動支援（屋外）,移動支援（屋内）,移動支援（装着）,排泄支援（排泄物処理）,排泄物（排泄予測、検知）,排泄支援（動作支援）,見守り・コミュニケーション（施設）,見守り・コミュニケーション（在宅）,見守り・コミュニケーション（コミュニケーション）,入浴支援,介護業務支援,機能訓練支援,食事・栄養管理支援,認知症生活支援・認知症ケア支援"</formula1>
    </dataValidation>
    <dataValidation allowBlank="1" showInputMessage="1" showErrorMessage="1" prompt="情報端末の1台あたりの金額に補助率3/4を乗じて10万円を超える場合、10万円までが補助対象額となります。" sqref="K10:K12 K15:K17 K20:K22" xr:uid="{7E4F3455-E70B-475C-8AAE-3A5315128398}"/>
    <dataValidation type="list" allowBlank="1" showInputMessage="1" showErrorMessage="1" sqref="C9 C14 C19" xr:uid="{33695A96-92C8-48AA-9B63-217A81038623}">
      <formula1>"有,無"</formula1>
    </dataValidation>
  </dataValidations>
  <pageMargins left="0.7" right="0.7" top="0.75" bottom="0.75" header="0.3" footer="0.3"/>
  <pageSetup paperSize="9" scale="25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prompt="その他を選択した場合は、（）内に具体的な使用目的を記載してください。" xr:uid="{C5645AB3-7235-45C6-98A8-C6838608DEFE}">
          <x14:formula1>
            <xm:f>データリスト!$C$3:$C$10</xm:f>
          </x14:formula1>
          <xm:sqref>D9 D14 D19</xm:sqref>
        </x14:dataValidation>
        <x14:dataValidation type="list" allowBlank="1" showInputMessage="1" showErrorMessage="1" xr:uid="{AD7C46E7-AF6E-4C91-BDA2-1FE764FFAF5A}">
          <x14:formula1>
            <xm:f>データリスト!$A$2:$A$55</xm:f>
          </x14:formula1>
          <xm:sqref>R4:T4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EDFCA-5E57-42A0-933C-75AAECF230B7}">
  <sheetPr codeName="Sheet8"/>
  <dimension ref="A1:V29"/>
  <sheetViews>
    <sheetView view="pageBreakPreview" topLeftCell="D1" zoomScale="75" zoomScaleNormal="70" zoomScaleSheetLayoutView="75" workbookViewId="0">
      <selection activeCell="R1" sqref="R1:T5"/>
    </sheetView>
  </sheetViews>
  <sheetFormatPr defaultColWidth="8.83203125" defaultRowHeight="18"/>
  <cols>
    <col min="1" max="1" width="25.83203125" style="6" customWidth="1"/>
    <col min="2" max="2" width="26.08203125" style="6" bestFit="1" customWidth="1"/>
    <col min="3" max="3" width="10.4140625" style="6" customWidth="1"/>
    <col min="4" max="4" width="32.58203125" style="6" customWidth="1"/>
    <col min="5" max="5" width="23" style="6" customWidth="1"/>
    <col min="6" max="6" width="6.83203125" style="6" bestFit="1" customWidth="1"/>
    <col min="7" max="9" width="13.58203125" style="6" customWidth="1"/>
    <col min="10" max="10" width="8.58203125" style="6" bestFit="1" customWidth="1"/>
    <col min="11" max="11" width="13" style="6" customWidth="1"/>
    <col min="12" max="12" width="21.83203125" style="6" customWidth="1"/>
    <col min="13" max="13" width="6.83203125" style="6" bestFit="1" customWidth="1"/>
    <col min="14" max="14" width="13.58203125" style="6" customWidth="1"/>
    <col min="15" max="15" width="13.6640625" style="6" customWidth="1"/>
    <col min="16" max="16" width="13" style="6" customWidth="1"/>
    <col min="17" max="17" width="13.83203125" style="6" bestFit="1" customWidth="1"/>
    <col min="18" max="20" width="13.83203125" style="6" customWidth="1"/>
    <col min="21" max="21" width="36.6640625" style="6" customWidth="1"/>
    <col min="22" max="22" width="5.6640625" style="6" customWidth="1"/>
    <col min="23" max="16384" width="8.83203125" style="6"/>
  </cols>
  <sheetData>
    <row r="1" spans="1:22">
      <c r="A1" s="6" t="s">
        <v>186</v>
      </c>
      <c r="M1" s="9"/>
      <c r="Q1" s="9" t="s">
        <v>28</v>
      </c>
      <c r="R1" s="110"/>
      <c r="S1" s="110"/>
      <c r="T1" s="110"/>
    </row>
    <row r="2" spans="1:22">
      <c r="A2" s="6" t="s">
        <v>206</v>
      </c>
      <c r="M2" s="9"/>
      <c r="Q2" s="9" t="s">
        <v>29</v>
      </c>
      <c r="R2" s="111"/>
      <c r="S2" s="111"/>
      <c r="T2" s="111"/>
    </row>
    <row r="3" spans="1:22">
      <c r="M3" s="9"/>
      <c r="Q3" s="9" t="s">
        <v>30</v>
      </c>
      <c r="R3" s="111"/>
      <c r="S3" s="111"/>
      <c r="T3" s="111"/>
    </row>
    <row r="4" spans="1:22">
      <c r="A4" s="7" t="s">
        <v>166</v>
      </c>
      <c r="B4" s="7"/>
      <c r="E4" s="8"/>
      <c r="M4" s="9"/>
      <c r="Q4" s="9" t="s">
        <v>31</v>
      </c>
      <c r="R4" s="112"/>
      <c r="S4" s="112"/>
      <c r="T4" s="112"/>
    </row>
    <row r="5" spans="1:22">
      <c r="M5" s="9"/>
      <c r="Q5" s="9" t="s">
        <v>32</v>
      </c>
      <c r="R5" s="111"/>
      <c r="S5" s="111"/>
      <c r="T5" s="111"/>
    </row>
    <row r="6" spans="1:22" ht="40" customHeight="1">
      <c r="C6" s="99"/>
      <c r="G6" s="55" t="s">
        <v>142</v>
      </c>
      <c r="H6" s="55" t="s">
        <v>143</v>
      </c>
      <c r="I6" s="55" t="s">
        <v>144</v>
      </c>
      <c r="J6" s="55" t="s">
        <v>145</v>
      </c>
      <c r="K6" s="55" t="s">
        <v>146</v>
      </c>
      <c r="L6" s="55" t="s">
        <v>147</v>
      </c>
      <c r="M6" s="55"/>
      <c r="N6" s="55" t="s">
        <v>148</v>
      </c>
      <c r="O6" s="55" t="s">
        <v>162</v>
      </c>
      <c r="P6" s="55" t="s">
        <v>150</v>
      </c>
      <c r="Q6" s="46" t="s">
        <v>194</v>
      </c>
      <c r="R6" s="55" t="s">
        <v>195</v>
      </c>
      <c r="S6" s="55" t="s">
        <v>201</v>
      </c>
      <c r="T6" s="46" t="s">
        <v>202</v>
      </c>
    </row>
    <row r="7" spans="1:22" s="1" customFormat="1" ht="54" customHeight="1">
      <c r="A7" s="85" t="s">
        <v>2</v>
      </c>
      <c r="B7" s="85" t="s">
        <v>136</v>
      </c>
      <c r="C7" s="85" t="s">
        <v>130</v>
      </c>
      <c r="D7" s="85" t="s">
        <v>26</v>
      </c>
      <c r="E7" s="85" t="s">
        <v>139</v>
      </c>
      <c r="F7" s="85" t="s">
        <v>18</v>
      </c>
      <c r="G7" s="85" t="s">
        <v>141</v>
      </c>
      <c r="H7" s="85" t="s">
        <v>128</v>
      </c>
      <c r="I7" s="85" t="s">
        <v>129</v>
      </c>
      <c r="J7" s="85" t="s">
        <v>9</v>
      </c>
      <c r="K7" s="85" t="s">
        <v>135</v>
      </c>
      <c r="L7" s="85" t="s">
        <v>8</v>
      </c>
      <c r="M7" s="85" t="s">
        <v>10</v>
      </c>
      <c r="N7" s="85" t="s">
        <v>158</v>
      </c>
      <c r="O7" s="85" t="s">
        <v>159</v>
      </c>
      <c r="P7" s="85" t="s">
        <v>127</v>
      </c>
      <c r="Q7" s="85" t="s">
        <v>193</v>
      </c>
      <c r="R7" s="85" t="s">
        <v>199</v>
      </c>
      <c r="S7" s="85" t="s">
        <v>200</v>
      </c>
      <c r="T7" s="85" t="s">
        <v>203</v>
      </c>
    </row>
    <row r="8" spans="1:22" s="1" customFormat="1" ht="18" customHeight="1">
      <c r="A8" s="91"/>
      <c r="B8" s="91"/>
      <c r="C8" s="89"/>
      <c r="D8" s="91"/>
      <c r="E8" s="91"/>
      <c r="F8" s="92" t="s">
        <v>190</v>
      </c>
      <c r="G8" s="92" t="s">
        <v>191</v>
      </c>
      <c r="H8" s="92" t="s">
        <v>191</v>
      </c>
      <c r="I8" s="92" t="s">
        <v>191</v>
      </c>
      <c r="J8" s="92" t="s">
        <v>192</v>
      </c>
      <c r="K8" s="92" t="s">
        <v>191</v>
      </c>
      <c r="L8" s="92" t="s">
        <v>191</v>
      </c>
      <c r="M8" s="92"/>
      <c r="N8" s="92" t="s">
        <v>191</v>
      </c>
      <c r="O8" s="92" t="s">
        <v>191</v>
      </c>
      <c r="P8" s="92" t="s">
        <v>191</v>
      </c>
      <c r="Q8" s="92" t="s">
        <v>191</v>
      </c>
      <c r="R8" s="90" t="s">
        <v>191</v>
      </c>
      <c r="S8" s="90" t="s">
        <v>191</v>
      </c>
      <c r="T8" s="97" t="s">
        <v>191</v>
      </c>
    </row>
    <row r="9" spans="1:22" ht="38.25" customHeight="1">
      <c r="A9" s="32" t="s">
        <v>17</v>
      </c>
      <c r="B9" s="57" t="s">
        <v>180</v>
      </c>
      <c r="C9" s="100" t="s">
        <v>169</v>
      </c>
      <c r="D9" s="58" t="s">
        <v>120</v>
      </c>
      <c r="E9" s="62" t="s">
        <v>181</v>
      </c>
      <c r="F9" s="134">
        <v>31</v>
      </c>
      <c r="G9" s="132">
        <v>4400000</v>
      </c>
      <c r="H9" s="132">
        <v>0</v>
      </c>
      <c r="I9" s="121">
        <f>IF(G9="","",G9-H9)</f>
        <v>4400000</v>
      </c>
      <c r="J9" s="33"/>
      <c r="K9" s="57">
        <v>1000000</v>
      </c>
      <c r="L9" s="21">
        <f>IF(K9="","",K9)</f>
        <v>1000000</v>
      </c>
      <c r="M9" s="133">
        <v>0.75</v>
      </c>
      <c r="N9" s="21">
        <f>IF(L9="","",L9*$M$9)</f>
        <v>750000</v>
      </c>
      <c r="O9" s="121">
        <f>IF(K9="","",ROUNDDOWN(SUM(N9:N13),-3))</f>
        <v>3050000</v>
      </c>
      <c r="P9" s="120">
        <f>IF(O9="","",IF(F9="",0,IF(E9="職員数により合計金額が変動しない",2500000,IF($F$9&lt;=10,1000000,IF($F$9&lt;=20,1500000,IF($F$9&lt;=30,2000000,2500000))))))</f>
        <v>2500000</v>
      </c>
      <c r="Q9" s="120">
        <f>IF(P9="","",ROUNDDOWN(MIN(I9,O9,P9),-3))</f>
        <v>2500000</v>
      </c>
      <c r="R9" s="161">
        <v>2550000</v>
      </c>
      <c r="S9" s="161">
        <v>0</v>
      </c>
      <c r="T9" s="177">
        <f>IF(R9="","",IF(Q24&gt;R9,R9-S9,Q24-S9))</f>
        <v>2500000</v>
      </c>
      <c r="U9" s="6" t="str">
        <f>CONCATENATE(A9,D9)</f>
        <v>介護ソフト記録業務に要する時間の短縮</v>
      </c>
      <c r="V9" s="6">
        <f>IF(D9="","",IF(U9="","",COUNTIF($U$9:$U$23,U9)))</f>
        <v>1</v>
      </c>
    </row>
    <row r="10" spans="1:22" ht="38.25" customHeight="1">
      <c r="A10" s="30" t="s">
        <v>131</v>
      </c>
      <c r="B10" s="59" t="s">
        <v>170</v>
      </c>
      <c r="C10" s="125"/>
      <c r="D10" s="125"/>
      <c r="E10" s="125"/>
      <c r="F10" s="128"/>
      <c r="G10" s="130"/>
      <c r="H10" s="130"/>
      <c r="I10" s="118"/>
      <c r="J10" s="59">
        <v>5</v>
      </c>
      <c r="K10" s="59">
        <v>100000</v>
      </c>
      <c r="L10" s="28">
        <f>IF(J10="","",J10*K10)</f>
        <v>500000</v>
      </c>
      <c r="M10" s="116"/>
      <c r="N10" s="28">
        <f>IF(L10="","",IF(K10*$M$9&gt;100000,100000*J10,L10*$M$9))</f>
        <v>375000</v>
      </c>
      <c r="O10" s="118"/>
      <c r="P10" s="114"/>
      <c r="Q10" s="114"/>
      <c r="R10" s="162"/>
      <c r="S10" s="162"/>
      <c r="T10" s="176"/>
    </row>
    <row r="11" spans="1:22" ht="38.25" customHeight="1">
      <c r="A11" s="30" t="s">
        <v>132</v>
      </c>
      <c r="B11" s="59" t="s">
        <v>171</v>
      </c>
      <c r="C11" s="126"/>
      <c r="D11" s="126"/>
      <c r="E11" s="126"/>
      <c r="F11" s="128"/>
      <c r="G11" s="130"/>
      <c r="H11" s="130"/>
      <c r="I11" s="118"/>
      <c r="J11" s="59">
        <v>5</v>
      </c>
      <c r="K11" s="59">
        <v>80000</v>
      </c>
      <c r="L11" s="28">
        <f t="shared" ref="L11:L12" si="0">IF(J11="","",J11*K11)</f>
        <v>400000</v>
      </c>
      <c r="M11" s="116"/>
      <c r="N11" s="28">
        <f t="shared" ref="N11:N12" si="1">IF(L11="","",IF(K11*$M$9&gt;100000,100000*J11,L11*$M$9))</f>
        <v>300000</v>
      </c>
      <c r="O11" s="118"/>
      <c r="P11" s="114"/>
      <c r="Q11" s="114"/>
      <c r="R11" s="162"/>
      <c r="S11" s="162"/>
      <c r="T11" s="176"/>
    </row>
    <row r="12" spans="1:22" ht="38.25" customHeight="1">
      <c r="A12" s="30" t="s">
        <v>133</v>
      </c>
      <c r="B12" s="59" t="s">
        <v>172</v>
      </c>
      <c r="C12" s="126"/>
      <c r="D12" s="126"/>
      <c r="E12" s="126"/>
      <c r="F12" s="128"/>
      <c r="G12" s="130"/>
      <c r="H12" s="130"/>
      <c r="I12" s="118"/>
      <c r="J12" s="59">
        <v>5</v>
      </c>
      <c r="K12" s="59">
        <v>200000</v>
      </c>
      <c r="L12" s="28">
        <f t="shared" si="0"/>
        <v>1000000</v>
      </c>
      <c r="M12" s="116"/>
      <c r="N12" s="28">
        <f t="shared" si="1"/>
        <v>500000</v>
      </c>
      <c r="O12" s="118"/>
      <c r="P12" s="114"/>
      <c r="Q12" s="114"/>
      <c r="R12" s="162"/>
      <c r="S12" s="162"/>
      <c r="T12" s="176"/>
    </row>
    <row r="13" spans="1:22" ht="38.25" customHeight="1">
      <c r="A13" s="29" t="s">
        <v>134</v>
      </c>
      <c r="B13" s="60" t="s">
        <v>173</v>
      </c>
      <c r="C13" s="127"/>
      <c r="D13" s="127"/>
      <c r="E13" s="127"/>
      <c r="F13" s="128"/>
      <c r="G13" s="131"/>
      <c r="H13" s="131"/>
      <c r="I13" s="119"/>
      <c r="J13" s="31"/>
      <c r="K13" s="60">
        <v>1500000</v>
      </c>
      <c r="L13" s="52">
        <f>IF(K13="","",K13)</f>
        <v>1500000</v>
      </c>
      <c r="M13" s="116"/>
      <c r="N13" s="52">
        <f>IF(L13="","",L13*$M$9)</f>
        <v>1125000</v>
      </c>
      <c r="O13" s="119"/>
      <c r="P13" s="115"/>
      <c r="Q13" s="115"/>
      <c r="R13" s="162"/>
      <c r="S13" s="162"/>
      <c r="T13" s="176"/>
    </row>
    <row r="14" spans="1:22" ht="38.25" customHeight="1">
      <c r="A14" s="32" t="s">
        <v>17</v>
      </c>
      <c r="B14" s="17"/>
      <c r="C14" s="101"/>
      <c r="D14" s="18"/>
      <c r="E14" s="34"/>
      <c r="F14" s="128"/>
      <c r="G14" s="132"/>
      <c r="H14" s="132"/>
      <c r="I14" s="121" t="str">
        <f t="shared" ref="I14" si="2">IF(G14="","",G14-H14)</f>
        <v/>
      </c>
      <c r="J14" s="33"/>
      <c r="K14" s="17"/>
      <c r="L14" s="21" t="str">
        <f t="shared" ref="L14" si="3">IF(K14="","",K14)</f>
        <v/>
      </c>
      <c r="M14" s="116"/>
      <c r="N14" s="21" t="str">
        <f t="shared" ref="N14" si="4">IF(L14="","",L14*$M$9)</f>
        <v/>
      </c>
      <c r="O14" s="121" t="str">
        <f t="shared" ref="O14" si="5">IF(K14="","",ROUNDDOWN(SUM(N14:N18),-3))</f>
        <v/>
      </c>
      <c r="P14" s="120" t="str">
        <f t="shared" ref="P14" si="6">IF(O14="","",IF(F14="",0,IF(E14="職員数により合計金額が変動しない",2500000,IF($F$9&lt;=10,1000000,IF($F$9&lt;=20,1500000,IF($F$9&lt;=30,2000000,2500000))))))</f>
        <v/>
      </c>
      <c r="Q14" s="120" t="str">
        <f t="shared" ref="Q14" si="7">IF(P14="","",ROUNDDOWN(MIN(I14,O14,P14),-3))</f>
        <v/>
      </c>
      <c r="R14" s="162"/>
      <c r="S14" s="162"/>
      <c r="T14" s="176"/>
      <c r="U14" s="6" t="str">
        <f>CONCATENATE(A14,D14)</f>
        <v>介護ソフト</v>
      </c>
      <c r="V14" s="6" t="str">
        <f>IF(D14="","",IF(U14="","",COUNTIF($U$9:$U$23,U14)))</f>
        <v/>
      </c>
    </row>
    <row r="15" spans="1:22" ht="38.25" customHeight="1">
      <c r="A15" s="30" t="s">
        <v>131</v>
      </c>
      <c r="B15" s="27"/>
      <c r="C15" s="125"/>
      <c r="D15" s="125"/>
      <c r="E15" s="125"/>
      <c r="F15" s="128"/>
      <c r="G15" s="130"/>
      <c r="H15" s="130"/>
      <c r="I15" s="118"/>
      <c r="J15" s="27"/>
      <c r="K15" s="27"/>
      <c r="L15" s="28" t="str">
        <f t="shared" ref="L15:L22" si="8">IF(J15="","",J15*K15)</f>
        <v/>
      </c>
      <c r="M15" s="116"/>
      <c r="N15" s="28" t="str">
        <f t="shared" ref="N15:N22" si="9">IF(L15="","",IF(K15*$M$9&gt;100000,100000*J15,L15*$M$9))</f>
        <v/>
      </c>
      <c r="O15" s="118"/>
      <c r="P15" s="114"/>
      <c r="Q15" s="114"/>
      <c r="R15" s="162"/>
      <c r="S15" s="162"/>
      <c r="T15" s="176"/>
    </row>
    <row r="16" spans="1:22" ht="38.25" customHeight="1">
      <c r="A16" s="30" t="s">
        <v>132</v>
      </c>
      <c r="B16" s="27"/>
      <c r="C16" s="126"/>
      <c r="D16" s="126"/>
      <c r="E16" s="126"/>
      <c r="F16" s="128"/>
      <c r="G16" s="130"/>
      <c r="H16" s="130"/>
      <c r="I16" s="118"/>
      <c r="J16" s="27"/>
      <c r="K16" s="27"/>
      <c r="L16" s="28" t="str">
        <f t="shared" si="8"/>
        <v/>
      </c>
      <c r="M16" s="116"/>
      <c r="N16" s="28" t="str">
        <f t="shared" si="9"/>
        <v/>
      </c>
      <c r="O16" s="118"/>
      <c r="P16" s="114"/>
      <c r="Q16" s="114"/>
      <c r="R16" s="162"/>
      <c r="S16" s="162"/>
      <c r="T16" s="176"/>
    </row>
    <row r="17" spans="1:22" ht="38.25" customHeight="1">
      <c r="A17" s="30" t="s">
        <v>133</v>
      </c>
      <c r="B17" s="27"/>
      <c r="C17" s="126"/>
      <c r="D17" s="126"/>
      <c r="E17" s="126"/>
      <c r="F17" s="128"/>
      <c r="G17" s="130"/>
      <c r="H17" s="130"/>
      <c r="I17" s="118"/>
      <c r="J17" s="27"/>
      <c r="K17" s="27"/>
      <c r="L17" s="28" t="str">
        <f t="shared" si="8"/>
        <v/>
      </c>
      <c r="M17" s="116"/>
      <c r="N17" s="28" t="str">
        <f t="shared" si="9"/>
        <v/>
      </c>
      <c r="O17" s="118"/>
      <c r="P17" s="114"/>
      <c r="Q17" s="114"/>
      <c r="R17" s="162"/>
      <c r="S17" s="162"/>
      <c r="T17" s="176"/>
    </row>
    <row r="18" spans="1:22" ht="38.25" customHeight="1">
      <c r="A18" s="29" t="s">
        <v>134</v>
      </c>
      <c r="B18" s="54"/>
      <c r="C18" s="127"/>
      <c r="D18" s="127"/>
      <c r="E18" s="127"/>
      <c r="F18" s="128"/>
      <c r="G18" s="131"/>
      <c r="H18" s="131"/>
      <c r="I18" s="119"/>
      <c r="J18" s="31"/>
      <c r="K18" s="54"/>
      <c r="L18" s="52" t="str">
        <f t="shared" ref="L18:L19" si="10">IF(K18="","",K18)</f>
        <v/>
      </c>
      <c r="M18" s="116"/>
      <c r="N18" s="52" t="str">
        <f t="shared" ref="N18:N19" si="11">IF(L18="","",L18*$M$9)</f>
        <v/>
      </c>
      <c r="O18" s="119"/>
      <c r="P18" s="115"/>
      <c r="Q18" s="115"/>
      <c r="R18" s="162"/>
      <c r="S18" s="162"/>
      <c r="T18" s="176"/>
    </row>
    <row r="19" spans="1:22" ht="38.25" customHeight="1">
      <c r="A19" s="32" t="s">
        <v>17</v>
      </c>
      <c r="B19" s="17"/>
      <c r="C19" s="101"/>
      <c r="D19" s="18"/>
      <c r="E19" s="34"/>
      <c r="F19" s="128"/>
      <c r="G19" s="132"/>
      <c r="H19" s="132"/>
      <c r="I19" s="121" t="str">
        <f t="shared" ref="I19" si="12">IF(G19="","",G19-H19)</f>
        <v/>
      </c>
      <c r="J19" s="33"/>
      <c r="K19" s="17"/>
      <c r="L19" s="21" t="str">
        <f t="shared" si="10"/>
        <v/>
      </c>
      <c r="M19" s="116"/>
      <c r="N19" s="21" t="str">
        <f t="shared" si="11"/>
        <v/>
      </c>
      <c r="O19" s="121" t="str">
        <f t="shared" ref="O19" si="13">IF(K19="","",ROUNDDOWN(SUM(N19:N23),-3))</f>
        <v/>
      </c>
      <c r="P19" s="120" t="str">
        <f t="shared" ref="P19" si="14">IF(O19="","",IF(F19="",0,IF(E19="職員数により合計金額が変動しない",2500000,IF($F$9&lt;=10,1000000,IF($F$9&lt;=20,1500000,IF($F$9&lt;=30,2000000,2500000))))))</f>
        <v/>
      </c>
      <c r="Q19" s="120" t="str">
        <f t="shared" ref="Q19" si="15">IF(P19="","",ROUNDDOWN(MIN(I19,O19,P19),-3))</f>
        <v/>
      </c>
      <c r="R19" s="162"/>
      <c r="S19" s="162"/>
      <c r="T19" s="176"/>
      <c r="U19" s="6" t="str">
        <f>CONCATENATE(A19,D19)</f>
        <v>介護ソフト</v>
      </c>
      <c r="V19" s="6" t="str">
        <f>IF(D19="","",IF(U19="","",COUNTIF($U$9:$U$23,U19)))</f>
        <v/>
      </c>
    </row>
    <row r="20" spans="1:22" ht="38.25" customHeight="1">
      <c r="A20" s="30" t="s">
        <v>131</v>
      </c>
      <c r="B20" s="27"/>
      <c r="C20" s="125"/>
      <c r="D20" s="125"/>
      <c r="E20" s="125"/>
      <c r="F20" s="128"/>
      <c r="G20" s="130"/>
      <c r="H20" s="130"/>
      <c r="I20" s="118"/>
      <c r="J20" s="27"/>
      <c r="K20" s="27"/>
      <c r="L20" s="28" t="str">
        <f t="shared" ref="L20" si="16">IF(J20="","",J20*K20)</f>
        <v/>
      </c>
      <c r="M20" s="116"/>
      <c r="N20" s="28" t="str">
        <f t="shared" ref="N20" si="17">IF(L20="","",IF(K20*$M$9&gt;100000,100000*J20,L20*$M$9))</f>
        <v/>
      </c>
      <c r="O20" s="118"/>
      <c r="P20" s="114"/>
      <c r="Q20" s="114"/>
      <c r="R20" s="162"/>
      <c r="S20" s="162"/>
      <c r="T20" s="176"/>
    </row>
    <row r="21" spans="1:22" ht="38.25" customHeight="1">
      <c r="A21" s="30" t="s">
        <v>132</v>
      </c>
      <c r="B21" s="27"/>
      <c r="C21" s="126"/>
      <c r="D21" s="126"/>
      <c r="E21" s="126"/>
      <c r="F21" s="128"/>
      <c r="G21" s="130"/>
      <c r="H21" s="130"/>
      <c r="I21" s="118"/>
      <c r="J21" s="27"/>
      <c r="K21" s="27"/>
      <c r="L21" s="28" t="str">
        <f t="shared" si="8"/>
        <v/>
      </c>
      <c r="M21" s="116"/>
      <c r="N21" s="28" t="str">
        <f t="shared" si="9"/>
        <v/>
      </c>
      <c r="O21" s="118"/>
      <c r="P21" s="114"/>
      <c r="Q21" s="114"/>
      <c r="R21" s="162"/>
      <c r="S21" s="162"/>
      <c r="T21" s="176"/>
    </row>
    <row r="22" spans="1:22" ht="38.25" customHeight="1">
      <c r="A22" s="30" t="s">
        <v>133</v>
      </c>
      <c r="B22" s="27"/>
      <c r="C22" s="126"/>
      <c r="D22" s="126"/>
      <c r="E22" s="126"/>
      <c r="F22" s="128"/>
      <c r="G22" s="130"/>
      <c r="H22" s="130"/>
      <c r="I22" s="118"/>
      <c r="J22" s="27"/>
      <c r="K22" s="27"/>
      <c r="L22" s="28" t="str">
        <f t="shared" si="8"/>
        <v/>
      </c>
      <c r="M22" s="116"/>
      <c r="N22" s="28" t="str">
        <f t="shared" si="9"/>
        <v/>
      </c>
      <c r="O22" s="118"/>
      <c r="P22" s="114"/>
      <c r="Q22" s="114"/>
      <c r="R22" s="162"/>
      <c r="S22" s="162"/>
      <c r="T22" s="176"/>
    </row>
    <row r="23" spans="1:22" ht="38.25" customHeight="1">
      <c r="A23" s="29" t="s">
        <v>134</v>
      </c>
      <c r="B23" s="54"/>
      <c r="C23" s="127"/>
      <c r="D23" s="127"/>
      <c r="E23" s="127"/>
      <c r="F23" s="129"/>
      <c r="G23" s="131"/>
      <c r="H23" s="131"/>
      <c r="I23" s="119"/>
      <c r="J23" s="31"/>
      <c r="K23" s="54"/>
      <c r="L23" s="52" t="str">
        <f t="shared" ref="L23" si="18">IF(K23="","",K23)</f>
        <v/>
      </c>
      <c r="M23" s="117"/>
      <c r="N23" s="52" t="str">
        <f t="shared" ref="N23" si="19">IF(L23="","",L23*$M$9)</f>
        <v/>
      </c>
      <c r="O23" s="119"/>
      <c r="P23" s="115"/>
      <c r="Q23" s="115"/>
      <c r="R23" s="163"/>
      <c r="S23" s="163"/>
      <c r="T23" s="178"/>
    </row>
    <row r="24" spans="1:22">
      <c r="A24" s="36"/>
      <c r="B24" s="36"/>
      <c r="C24" s="36"/>
      <c r="D24" s="36"/>
      <c r="E24" s="36"/>
      <c r="F24" s="35" t="s">
        <v>14</v>
      </c>
      <c r="G24" s="13">
        <f t="shared" ref="G24:I24" si="20">SUM(G9:G23)</f>
        <v>4400000</v>
      </c>
      <c r="H24" s="13">
        <f t="shared" si="20"/>
        <v>0</v>
      </c>
      <c r="I24" s="13">
        <f t="shared" si="20"/>
        <v>4400000</v>
      </c>
      <c r="J24" s="13"/>
      <c r="K24" s="13"/>
      <c r="L24" s="13">
        <f t="shared" ref="L24:P24" si="21">SUM(L9:L23)</f>
        <v>4400000</v>
      </c>
      <c r="M24" s="16"/>
      <c r="N24" s="13">
        <f t="shared" ref="N24" si="22">SUM(N9:N23)</f>
        <v>3050000</v>
      </c>
      <c r="O24" s="13">
        <f t="shared" si="21"/>
        <v>3050000</v>
      </c>
      <c r="P24" s="13">
        <f t="shared" si="21"/>
        <v>2500000</v>
      </c>
      <c r="Q24" s="13">
        <f>SUM(Q9:Q23)</f>
        <v>2500000</v>
      </c>
      <c r="R24" s="13">
        <f t="shared" ref="R24:S24" si="23">SUM(R9:R23)</f>
        <v>2550000</v>
      </c>
      <c r="S24" s="13">
        <f t="shared" si="23"/>
        <v>0</v>
      </c>
      <c r="T24" s="13">
        <f>SUM(T9:T23)</f>
        <v>2500000</v>
      </c>
      <c r="V24" s="6">
        <f>SUM(V9:V23)</f>
        <v>1</v>
      </c>
    </row>
    <row r="25" spans="1:22" ht="37.65" customHeight="1">
      <c r="A25" s="26" t="str">
        <f>IF(V24&gt;3,"！同一の使用目的で補助できる機種は1種類限りです！","")</f>
        <v/>
      </c>
    </row>
    <row r="26" spans="1:22" ht="37.65" customHeight="1"/>
    <row r="27" spans="1:22" ht="37.65" customHeight="1"/>
    <row r="28" spans="1:22" ht="37.65" customHeight="1"/>
    <row r="29" spans="1:22" ht="37.65" customHeight="1"/>
  </sheetData>
  <mergeCells count="37">
    <mergeCell ref="R9:R23"/>
    <mergeCell ref="S9:S23"/>
    <mergeCell ref="T9:T23"/>
    <mergeCell ref="O14:O18"/>
    <mergeCell ref="P14:P18"/>
    <mergeCell ref="I9:I13"/>
    <mergeCell ref="M9:M23"/>
    <mergeCell ref="E20:E23"/>
    <mergeCell ref="Q14:Q18"/>
    <mergeCell ref="D15:D18"/>
    <mergeCell ref="E15:E18"/>
    <mergeCell ref="G19:G23"/>
    <mergeCell ref="H19:H23"/>
    <mergeCell ref="I19:I23"/>
    <mergeCell ref="O19:O23"/>
    <mergeCell ref="P19:P23"/>
    <mergeCell ref="Q19:Q23"/>
    <mergeCell ref="D20:D23"/>
    <mergeCell ref="G14:G18"/>
    <mergeCell ref="H14:H18"/>
    <mergeCell ref="I14:I18"/>
    <mergeCell ref="C10:C13"/>
    <mergeCell ref="C15:C18"/>
    <mergeCell ref="C20:C23"/>
    <mergeCell ref="R1:T1"/>
    <mergeCell ref="R2:T2"/>
    <mergeCell ref="R3:T3"/>
    <mergeCell ref="R4:T4"/>
    <mergeCell ref="R5:T5"/>
    <mergeCell ref="O9:O13"/>
    <mergeCell ref="P9:P13"/>
    <mergeCell ref="Q9:Q13"/>
    <mergeCell ref="D10:D13"/>
    <mergeCell ref="E10:E13"/>
    <mergeCell ref="F9:F23"/>
    <mergeCell ref="G9:G13"/>
    <mergeCell ref="H9:H13"/>
  </mergeCells>
  <phoneticPr fontId="1"/>
  <conditionalFormatting sqref="L9:M9 L13:M13 L14 M14:M23 L18:L19 L23">
    <cfRule type="expression" dxfId="3" priority="1">
      <formula>$L9="台数上限を超えています"</formula>
    </cfRule>
  </conditionalFormatting>
  <dataValidations count="4">
    <dataValidation allowBlank="1" showInputMessage="1" showErrorMessage="1" prompt="情報端末の1台あたりの金額に補助率3/4を乗じて10万円を超える場合、10万円までが補助対象額となります。" sqref="K20:K22 K15:K17 K10:K12" xr:uid="{4BEDE714-97DC-434C-88E2-DC477E1BA6C7}"/>
    <dataValidation type="list" allowBlank="1" showInputMessage="1" sqref="A9:A23" xr:uid="{39E00B59-9E59-47BD-8EFE-58CF8C84AD0D}">
      <formula1>"移乗支援（装着）,移乗支援（非装着）,移動支援（屋外）,移動支援（屋内）,移動支援（装着）,排泄支援（排泄物処理）,排泄物（排泄予測、検知）,排泄支援（動作支援）,見守り・コミュニケーション（施設）,見守り・コミュニケーション（在宅）,見守り・コミュニケーション（コミュニケーション）,入浴支援,介護業務支援,機能訓練支援,食事・栄養管理支援,認知症生活支援・認知症ケア支援"</formula1>
    </dataValidation>
    <dataValidation type="list" allowBlank="1" showInputMessage="1" showErrorMessage="1" sqref="E9 E14 E19" xr:uid="{EBF6CA3D-5250-4BC6-A853-E205E38B5426}">
      <formula1>"職員数により合計金額が変動する,職員数により合計金額が変動しない"</formula1>
    </dataValidation>
    <dataValidation type="list" allowBlank="1" showInputMessage="1" showErrorMessage="1" sqref="C9 C14 C19" xr:uid="{E2309DBE-F777-4ED8-B712-A6D64B85C2EC}">
      <formula1>"有,無"</formula1>
    </dataValidation>
  </dataValidations>
  <pageMargins left="0.7" right="0.7" top="0.75" bottom="0.75" header="0.3" footer="0.3"/>
  <pageSetup paperSize="9" scale="25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prompt="その他を選択した場合は、（）内に具体的な使用目的を記載してください。" xr:uid="{CA82BD0E-9D76-4220-A12B-6BB4A346E01A}">
          <x14:formula1>
            <xm:f>データリスト!$C$3:$C$10</xm:f>
          </x14:formula1>
          <xm:sqref>D9 D14 D19</xm:sqref>
        </x14:dataValidation>
        <x14:dataValidation type="list" allowBlank="1" showInputMessage="1" showErrorMessage="1" xr:uid="{74AFACEC-9B00-4932-A165-10DE1D1C7CDE}">
          <x14:formula1>
            <xm:f>データリスト!$A$2:$A$55</xm:f>
          </x14:formula1>
          <xm:sqref>R4:T4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1542D-7CD7-4839-A160-ECCF5A7E1A28}">
  <sheetPr codeName="Sheet9"/>
  <dimension ref="A1:T19"/>
  <sheetViews>
    <sheetView view="pageBreakPreview" zoomScale="90" zoomScaleNormal="70" zoomScaleSheetLayoutView="90" workbookViewId="0">
      <selection activeCell="O11" sqref="O11"/>
    </sheetView>
  </sheetViews>
  <sheetFormatPr defaultColWidth="8.83203125" defaultRowHeight="18"/>
  <cols>
    <col min="1" max="1" width="5.4140625" style="6" customWidth="1"/>
    <col min="2" max="2" width="26.08203125" style="6" bestFit="1" customWidth="1"/>
    <col min="3" max="3" width="46.08203125" style="6" customWidth="1"/>
    <col min="4" max="4" width="6.83203125" style="6" bestFit="1" customWidth="1"/>
    <col min="5" max="7" width="13.58203125" style="6" customWidth="1"/>
    <col min="8" max="9" width="8.58203125" style="6" bestFit="1" customWidth="1"/>
    <col min="10" max="10" width="13" style="6" customWidth="1"/>
    <col min="11" max="11" width="21.83203125" style="6" customWidth="1"/>
    <col min="12" max="12" width="6.83203125" style="6" bestFit="1" customWidth="1"/>
    <col min="13" max="14" width="13" style="6" customWidth="1"/>
    <col min="15" max="18" width="13.33203125" style="6" customWidth="1"/>
    <col min="19" max="19" width="11.9140625" style="6" customWidth="1"/>
    <col min="20" max="20" width="5.6640625" style="6" customWidth="1"/>
    <col min="21" max="16384" width="8.83203125" style="6"/>
  </cols>
  <sheetData>
    <row r="1" spans="1:20">
      <c r="A1" s="6" t="s">
        <v>16</v>
      </c>
      <c r="O1" s="9" t="s">
        <v>28</v>
      </c>
      <c r="P1" s="194"/>
      <c r="Q1" s="194"/>
      <c r="R1" s="194"/>
    </row>
    <row r="2" spans="1:20">
      <c r="A2" s="6" t="s">
        <v>206</v>
      </c>
      <c r="O2" s="9" t="s">
        <v>29</v>
      </c>
      <c r="P2" s="195"/>
      <c r="Q2" s="195"/>
      <c r="R2" s="195"/>
    </row>
    <row r="3" spans="1:20">
      <c r="O3" s="9" t="s">
        <v>30</v>
      </c>
      <c r="P3" s="195"/>
      <c r="Q3" s="195"/>
      <c r="R3" s="195"/>
    </row>
    <row r="4" spans="1:20">
      <c r="A4" s="7" t="s">
        <v>3</v>
      </c>
      <c r="B4" s="7" t="s">
        <v>15</v>
      </c>
      <c r="O4" s="9" t="s">
        <v>31</v>
      </c>
      <c r="P4" s="196"/>
      <c r="Q4" s="196"/>
      <c r="R4" s="196"/>
    </row>
    <row r="5" spans="1:20">
      <c r="O5" s="9" t="s">
        <v>32</v>
      </c>
      <c r="P5" s="195"/>
      <c r="Q5" s="195"/>
      <c r="R5" s="195"/>
    </row>
    <row r="6" spans="1:20" ht="40" customHeight="1">
      <c r="B6" s="77"/>
      <c r="E6" s="40" t="s">
        <v>142</v>
      </c>
      <c r="F6" s="40" t="s">
        <v>143</v>
      </c>
      <c r="G6" s="40" t="s">
        <v>144</v>
      </c>
      <c r="H6" s="40"/>
      <c r="I6" s="40" t="s">
        <v>145</v>
      </c>
      <c r="J6" s="40" t="s">
        <v>146</v>
      </c>
      <c r="K6" s="40" t="s">
        <v>147</v>
      </c>
      <c r="L6" s="40"/>
      <c r="M6" s="40" t="s">
        <v>148</v>
      </c>
      <c r="N6" s="40" t="s">
        <v>149</v>
      </c>
      <c r="O6" s="46" t="s">
        <v>196</v>
      </c>
      <c r="P6" s="55" t="s">
        <v>197</v>
      </c>
      <c r="Q6" s="55" t="s">
        <v>195</v>
      </c>
      <c r="R6" s="46" t="s">
        <v>204</v>
      </c>
    </row>
    <row r="7" spans="1:20" s="1" customFormat="1" ht="54" customHeight="1">
      <c r="A7" s="85"/>
      <c r="B7" s="85" t="s">
        <v>0</v>
      </c>
      <c r="C7" s="85" t="s">
        <v>26</v>
      </c>
      <c r="D7" s="85" t="s">
        <v>13</v>
      </c>
      <c r="E7" s="85" t="s">
        <v>151</v>
      </c>
      <c r="F7" s="93" t="s">
        <v>152</v>
      </c>
      <c r="G7" s="85" t="s">
        <v>153</v>
      </c>
      <c r="H7" s="85" t="s">
        <v>11</v>
      </c>
      <c r="I7" s="85" t="s">
        <v>9</v>
      </c>
      <c r="J7" s="85" t="s">
        <v>140</v>
      </c>
      <c r="K7" s="85" t="s">
        <v>8</v>
      </c>
      <c r="L7" s="85" t="s">
        <v>10</v>
      </c>
      <c r="M7" s="85" t="s">
        <v>158</v>
      </c>
      <c r="N7" s="85" t="s">
        <v>127</v>
      </c>
      <c r="O7" s="85" t="s">
        <v>193</v>
      </c>
      <c r="P7" s="85" t="s">
        <v>199</v>
      </c>
      <c r="Q7" s="85" t="s">
        <v>200</v>
      </c>
      <c r="R7" s="85" t="s">
        <v>203</v>
      </c>
    </row>
    <row r="8" spans="1:20" s="1" customFormat="1" ht="18" customHeight="1">
      <c r="A8" s="90"/>
      <c r="B8" s="92"/>
      <c r="C8" s="92"/>
      <c r="D8" s="92" t="s">
        <v>190</v>
      </c>
      <c r="E8" s="90" t="s">
        <v>191</v>
      </c>
      <c r="F8" s="90" t="s">
        <v>191</v>
      </c>
      <c r="G8" s="90" t="s">
        <v>191</v>
      </c>
      <c r="H8" s="92" t="s">
        <v>192</v>
      </c>
      <c r="I8" s="92" t="s">
        <v>192</v>
      </c>
      <c r="J8" s="90" t="s">
        <v>191</v>
      </c>
      <c r="K8" s="90" t="s">
        <v>191</v>
      </c>
      <c r="L8" s="92"/>
      <c r="M8" s="90" t="s">
        <v>191</v>
      </c>
      <c r="N8" s="90" t="s">
        <v>191</v>
      </c>
      <c r="O8" s="90" t="s">
        <v>191</v>
      </c>
      <c r="P8" s="90" t="s">
        <v>191</v>
      </c>
      <c r="Q8" s="90" t="s">
        <v>191</v>
      </c>
      <c r="R8" s="97" t="s">
        <v>191</v>
      </c>
    </row>
    <row r="9" spans="1:20" ht="38.25" customHeight="1">
      <c r="A9" s="124" t="s">
        <v>15</v>
      </c>
      <c r="B9" s="184"/>
      <c r="C9" s="187"/>
      <c r="D9" s="193"/>
      <c r="E9" s="201"/>
      <c r="F9" s="201"/>
      <c r="G9" s="41" t="str">
        <f>IF(E9="","",E9-F9)</f>
        <v/>
      </c>
      <c r="H9" s="120" t="str">
        <f>IF(D9="","",ROUNDUP(D9*0.2,0))</f>
        <v/>
      </c>
      <c r="I9" s="184"/>
      <c r="J9" s="184"/>
      <c r="K9" s="21" t="str">
        <f>IF(I9="","",IF($H$9&lt;I9,"台数上限を超えています",I9*J9))</f>
        <v/>
      </c>
      <c r="L9" s="133">
        <v>0.75</v>
      </c>
      <c r="M9" s="25" t="str">
        <f>IF(K9="","",IF($H$9&lt;I9,"",ROUNDDOWN(K9*$L$9,-3)))</f>
        <v/>
      </c>
      <c r="N9" s="25" t="str">
        <f>IF(M9="","",IF($H$9&lt;I9,"",IF(I9="",0,I9*1000000)))</f>
        <v/>
      </c>
      <c r="O9" s="25" t="str">
        <f>IF(N9="","",IF($H$9&lt;I9,"",ROUNDDOWN(MIN(G9,M9,N9),-3)))</f>
        <v/>
      </c>
      <c r="P9" s="198"/>
      <c r="Q9" s="198"/>
      <c r="R9" s="170" t="str">
        <f>IF(P9="","",IF(O14&gt;P9,P9-Q9,O14-Q9))</f>
        <v/>
      </c>
      <c r="S9" s="6">
        <f>COUNTIF($C$9:$C$13,C9)</f>
        <v>0</v>
      </c>
      <c r="T9" s="6">
        <f>IF(S9&gt;1,1,0)</f>
        <v>0</v>
      </c>
    </row>
    <row r="10" spans="1:20" ht="38.25" customHeight="1">
      <c r="A10" s="124"/>
      <c r="B10" s="184"/>
      <c r="C10" s="187"/>
      <c r="D10" s="188"/>
      <c r="E10" s="201"/>
      <c r="F10" s="201"/>
      <c r="G10" s="41" t="str">
        <f t="shared" ref="G10:G13" si="0">IF(E10="","",E10-F10)</f>
        <v/>
      </c>
      <c r="H10" s="114"/>
      <c r="I10" s="184"/>
      <c r="J10" s="184"/>
      <c r="K10" s="21" t="str">
        <f t="shared" ref="K10:K13" si="1">IF(I10="","",IF($H$9&lt;I10,"台数上限を超えています",I10*J10))</f>
        <v/>
      </c>
      <c r="L10" s="116"/>
      <c r="M10" s="37" t="str">
        <f t="shared" ref="M10:M13" si="2">IF(K10="","",IF($H$9&lt;I10,"",ROUNDDOWN(K10*$L$9,-3)))</f>
        <v/>
      </c>
      <c r="N10" s="37" t="str">
        <f t="shared" ref="N10:N13" si="3">IF(M10="","",IF($H$9&lt;I10,"",IF(I10="",0,I10*1000000)))</f>
        <v/>
      </c>
      <c r="O10" s="49" t="str">
        <f t="shared" ref="O10:O13" si="4">IF(N10="","",IF($H$9&lt;I10,"",ROUNDDOWN(MIN(G10,M10,N10),-3)))</f>
        <v/>
      </c>
      <c r="P10" s="199"/>
      <c r="Q10" s="199"/>
      <c r="R10" s="171"/>
      <c r="S10" s="6">
        <f>COUNTIF($C$9:$C$13,C10)</f>
        <v>0</v>
      </c>
      <c r="T10" s="6">
        <f t="shared" ref="T10:T13" si="5">IF(S10&gt;1,1,0)</f>
        <v>0</v>
      </c>
    </row>
    <row r="11" spans="1:20" ht="38.25" customHeight="1">
      <c r="A11" s="124"/>
      <c r="B11" s="184"/>
      <c r="C11" s="187"/>
      <c r="D11" s="188"/>
      <c r="E11" s="201"/>
      <c r="F11" s="201"/>
      <c r="G11" s="41" t="str">
        <f t="shared" si="0"/>
        <v/>
      </c>
      <c r="H11" s="114"/>
      <c r="I11" s="184"/>
      <c r="J11" s="184"/>
      <c r="K11" s="21" t="str">
        <f t="shared" si="1"/>
        <v/>
      </c>
      <c r="L11" s="116"/>
      <c r="M11" s="37" t="str">
        <f t="shared" si="2"/>
        <v/>
      </c>
      <c r="N11" s="37" t="str">
        <f t="shared" si="3"/>
        <v/>
      </c>
      <c r="O11" s="49" t="str">
        <f t="shared" si="4"/>
        <v/>
      </c>
      <c r="P11" s="199"/>
      <c r="Q11" s="199"/>
      <c r="R11" s="171"/>
      <c r="S11" s="6">
        <f>COUNTIF($C$9:$C$13,C11)</f>
        <v>0</v>
      </c>
      <c r="T11" s="6">
        <f t="shared" si="5"/>
        <v>0</v>
      </c>
    </row>
    <row r="12" spans="1:20" ht="38.25" customHeight="1">
      <c r="A12" s="124"/>
      <c r="B12" s="184"/>
      <c r="C12" s="187"/>
      <c r="D12" s="188"/>
      <c r="E12" s="201"/>
      <c r="F12" s="201"/>
      <c r="G12" s="41" t="str">
        <f t="shared" si="0"/>
        <v/>
      </c>
      <c r="H12" s="114"/>
      <c r="I12" s="184"/>
      <c r="J12" s="184"/>
      <c r="K12" s="21" t="str">
        <f t="shared" si="1"/>
        <v/>
      </c>
      <c r="L12" s="116"/>
      <c r="M12" s="37" t="str">
        <f t="shared" si="2"/>
        <v/>
      </c>
      <c r="N12" s="37" t="str">
        <f t="shared" si="3"/>
        <v/>
      </c>
      <c r="O12" s="49" t="str">
        <f t="shared" si="4"/>
        <v/>
      </c>
      <c r="P12" s="199"/>
      <c r="Q12" s="199"/>
      <c r="R12" s="171"/>
      <c r="S12" s="6">
        <f>COUNTIF($C$9:$C$13,C12)</f>
        <v>0</v>
      </c>
      <c r="T12" s="6">
        <f t="shared" si="5"/>
        <v>0</v>
      </c>
    </row>
    <row r="13" spans="1:20" ht="38.25" customHeight="1">
      <c r="A13" s="124"/>
      <c r="B13" s="184"/>
      <c r="C13" s="187"/>
      <c r="D13" s="188"/>
      <c r="E13" s="201"/>
      <c r="F13" s="201"/>
      <c r="G13" s="41" t="str">
        <f t="shared" si="0"/>
        <v/>
      </c>
      <c r="H13" s="114"/>
      <c r="I13" s="184"/>
      <c r="J13" s="184"/>
      <c r="K13" s="21" t="str">
        <f t="shared" si="1"/>
        <v/>
      </c>
      <c r="L13" s="116"/>
      <c r="M13" s="37" t="str">
        <f t="shared" si="2"/>
        <v/>
      </c>
      <c r="N13" s="37" t="str">
        <f t="shared" si="3"/>
        <v/>
      </c>
      <c r="O13" s="49" t="str">
        <f t="shared" si="4"/>
        <v/>
      </c>
      <c r="P13" s="200"/>
      <c r="Q13" s="200"/>
      <c r="R13" s="172"/>
      <c r="S13" s="6">
        <f>COUNTIF($C$9:$C$13,C13)</f>
        <v>0</v>
      </c>
      <c r="T13" s="6">
        <f t="shared" si="5"/>
        <v>0</v>
      </c>
    </row>
    <row r="14" spans="1:20">
      <c r="A14" s="113" t="s">
        <v>14</v>
      </c>
      <c r="B14" s="113"/>
      <c r="C14" s="113"/>
      <c r="D14" s="113"/>
      <c r="E14" s="39">
        <f>SUM(E9:E13)</f>
        <v>0</v>
      </c>
      <c r="F14" s="53">
        <f t="shared" ref="F14:G14" si="6">SUM(F9:F13)</f>
        <v>0</v>
      </c>
      <c r="G14" s="53">
        <f t="shared" si="6"/>
        <v>0</v>
      </c>
      <c r="H14" s="16"/>
      <c r="I14" s="13"/>
      <c r="J14" s="13"/>
      <c r="K14" s="13">
        <f>SUM(K9:K13)</f>
        <v>0</v>
      </c>
      <c r="L14" s="16"/>
      <c r="M14" s="13">
        <f>SUM(M9:M13)</f>
        <v>0</v>
      </c>
      <c r="N14" s="13">
        <f>SUM(N9:N13)</f>
        <v>0</v>
      </c>
      <c r="O14" s="13">
        <f>SUM(O9:O13)</f>
        <v>0</v>
      </c>
      <c r="P14" s="13">
        <f t="shared" ref="P14:R14" si="7">SUM(P9:P13)</f>
        <v>0</v>
      </c>
      <c r="Q14" s="13">
        <f t="shared" ref="Q14" si="8">SUM(Q9:Q13)</f>
        <v>0</v>
      </c>
      <c r="R14" s="13">
        <f t="shared" si="7"/>
        <v>0</v>
      </c>
      <c r="T14" s="6">
        <f>SUM(T9:T13)</f>
        <v>0</v>
      </c>
    </row>
    <row r="15" spans="1:20" ht="37.65" customHeight="1">
      <c r="B15" s="26" t="str">
        <f>IF(T14&gt;1,"！同一の使用目的で補助できる機種は1種類限りです！","")</f>
        <v/>
      </c>
    </row>
    <row r="16" spans="1:20" ht="37.65" customHeight="1"/>
    <row r="17" ht="37.65" customHeight="1"/>
    <row r="18" ht="37.65" customHeight="1"/>
    <row r="19" ht="37.65" customHeight="1"/>
  </sheetData>
  <sheetProtection algorithmName="SHA-512" hashValue="nisiK6BjjdmTNjxGPP87npoLl36UKqGhCWl7BUEPXYDnQJAn1lXnaCqul4gogsHWn2/FqaH1sK2MW4Xk1FINYA==" saltValue="YKKH7j6Q76Lk5kqX62tXLg==" spinCount="100000" sheet="1" objects="1" scenarios="1"/>
  <mergeCells count="13">
    <mergeCell ref="A14:D14"/>
    <mergeCell ref="L9:L13"/>
    <mergeCell ref="P1:R1"/>
    <mergeCell ref="P2:R2"/>
    <mergeCell ref="P3:R3"/>
    <mergeCell ref="P4:R4"/>
    <mergeCell ref="P5:R5"/>
    <mergeCell ref="A9:A13"/>
    <mergeCell ref="D9:D13"/>
    <mergeCell ref="H9:H13"/>
    <mergeCell ref="P9:P13"/>
    <mergeCell ref="Q9:Q13"/>
    <mergeCell ref="R9:R13"/>
  </mergeCells>
  <phoneticPr fontId="1"/>
  <conditionalFormatting sqref="K9:K13">
    <cfRule type="expression" dxfId="2" priority="1">
      <formula>$K9="台数上限を超えています"</formula>
    </cfRule>
  </conditionalFormatting>
  <pageMargins left="0.7" right="0.7" top="0.75" bottom="0.75" header="0.3" footer="0.3"/>
  <pageSetup paperSize="9" scale="25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prompt="その他を選択した場合は、（）内に具体的な使用目的を記載してください。" xr:uid="{82750E3E-374E-470E-809E-D9B20CF08A51}">
          <x14:formula1>
            <xm:f>データリスト!$C$3:$C$10</xm:f>
          </x14:formula1>
          <xm:sqref>C9:C13</xm:sqref>
        </x14:dataValidation>
        <x14:dataValidation type="list" allowBlank="1" showInputMessage="1" showErrorMessage="1" xr:uid="{F626B815-B692-469A-9706-C32338C2B0D9}">
          <x14:formula1>
            <xm:f>データリスト!$A$2:$A$55</xm:f>
          </x14:formula1>
          <xm:sqref>P4:R4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52D65-0884-4F7D-B155-AD24BAAA036F}">
  <sheetPr codeName="Sheet10"/>
  <dimension ref="A1:T19"/>
  <sheetViews>
    <sheetView view="pageBreakPreview" topLeftCell="B1" zoomScale="90" zoomScaleNormal="70" zoomScaleSheetLayoutView="90" workbookViewId="0">
      <selection activeCell="P1" sqref="P1:R5"/>
    </sheetView>
  </sheetViews>
  <sheetFormatPr defaultColWidth="8.83203125" defaultRowHeight="18"/>
  <cols>
    <col min="1" max="1" width="5.4140625" style="6" customWidth="1"/>
    <col min="2" max="2" width="26.08203125" style="6" bestFit="1" customWidth="1"/>
    <col min="3" max="3" width="46.08203125" style="6" customWidth="1"/>
    <col min="4" max="4" width="6.83203125" style="6" bestFit="1" customWidth="1"/>
    <col min="5" max="7" width="13.58203125" style="6" customWidth="1"/>
    <col min="8" max="9" width="8.58203125" style="6" bestFit="1" customWidth="1"/>
    <col min="10" max="10" width="13" style="6" customWidth="1"/>
    <col min="11" max="11" width="21.83203125" style="6" customWidth="1"/>
    <col min="12" max="12" width="6.83203125" style="6" bestFit="1" customWidth="1"/>
    <col min="13" max="14" width="13" style="6" customWidth="1"/>
    <col min="15" max="18" width="13.33203125" style="6" customWidth="1"/>
    <col min="19" max="19" width="11.9140625" style="6" customWidth="1"/>
    <col min="20" max="20" width="5.6640625" style="6" customWidth="1"/>
    <col min="21" max="16384" width="8.83203125" style="6"/>
  </cols>
  <sheetData>
    <row r="1" spans="1:20">
      <c r="A1" s="6" t="s">
        <v>16</v>
      </c>
      <c r="O1" s="9" t="s">
        <v>28</v>
      </c>
      <c r="P1" s="110"/>
      <c r="Q1" s="110"/>
      <c r="R1" s="110"/>
    </row>
    <row r="2" spans="1:20">
      <c r="A2" s="6" t="s">
        <v>206</v>
      </c>
      <c r="O2" s="9" t="s">
        <v>29</v>
      </c>
      <c r="P2" s="111"/>
      <c r="Q2" s="111"/>
      <c r="R2" s="111"/>
    </row>
    <row r="3" spans="1:20">
      <c r="O3" s="9" t="s">
        <v>30</v>
      </c>
      <c r="P3" s="111"/>
      <c r="Q3" s="111"/>
      <c r="R3" s="111"/>
    </row>
    <row r="4" spans="1:20">
      <c r="A4" s="7" t="s">
        <v>3</v>
      </c>
      <c r="B4" s="7" t="s">
        <v>15</v>
      </c>
      <c r="O4" s="9" t="s">
        <v>31</v>
      </c>
      <c r="P4" s="112"/>
      <c r="Q4" s="112"/>
      <c r="R4" s="112"/>
    </row>
    <row r="5" spans="1:20">
      <c r="O5" s="9" t="s">
        <v>32</v>
      </c>
      <c r="P5" s="111"/>
      <c r="Q5" s="111"/>
      <c r="R5" s="111"/>
    </row>
    <row r="6" spans="1:20" ht="40" customHeight="1">
      <c r="E6" s="55" t="s">
        <v>142</v>
      </c>
      <c r="F6" s="55" t="s">
        <v>143</v>
      </c>
      <c r="G6" s="55" t="s">
        <v>144</v>
      </c>
      <c r="H6" s="55"/>
      <c r="I6" s="55" t="s">
        <v>145</v>
      </c>
      <c r="J6" s="55" t="s">
        <v>146</v>
      </c>
      <c r="K6" s="55" t="s">
        <v>147</v>
      </c>
      <c r="L6" s="55"/>
      <c r="M6" s="55" t="s">
        <v>148</v>
      </c>
      <c r="N6" s="55" t="s">
        <v>149</v>
      </c>
      <c r="O6" s="46" t="s">
        <v>196</v>
      </c>
      <c r="P6" s="55" t="s">
        <v>197</v>
      </c>
      <c r="Q6" s="55" t="s">
        <v>195</v>
      </c>
      <c r="R6" s="46" t="s">
        <v>204</v>
      </c>
    </row>
    <row r="7" spans="1:20" s="1" customFormat="1" ht="54" customHeight="1">
      <c r="A7" s="85"/>
      <c r="B7" s="85" t="s">
        <v>0</v>
      </c>
      <c r="C7" s="85" t="s">
        <v>26</v>
      </c>
      <c r="D7" s="85" t="s">
        <v>13</v>
      </c>
      <c r="E7" s="85" t="s">
        <v>141</v>
      </c>
      <c r="F7" s="93" t="s">
        <v>152</v>
      </c>
      <c r="G7" s="85" t="s">
        <v>129</v>
      </c>
      <c r="H7" s="85" t="s">
        <v>11</v>
      </c>
      <c r="I7" s="85" t="s">
        <v>9</v>
      </c>
      <c r="J7" s="85" t="s">
        <v>140</v>
      </c>
      <c r="K7" s="85" t="s">
        <v>8</v>
      </c>
      <c r="L7" s="85" t="s">
        <v>10</v>
      </c>
      <c r="M7" s="85" t="s">
        <v>158</v>
      </c>
      <c r="N7" s="85" t="s">
        <v>127</v>
      </c>
      <c r="O7" s="85" t="s">
        <v>193</v>
      </c>
      <c r="P7" s="85" t="s">
        <v>199</v>
      </c>
      <c r="Q7" s="85" t="s">
        <v>200</v>
      </c>
      <c r="R7" s="85" t="s">
        <v>203</v>
      </c>
    </row>
    <row r="8" spans="1:20" s="1" customFormat="1" ht="18" customHeight="1">
      <c r="A8" s="90"/>
      <c r="B8" s="92"/>
      <c r="C8" s="92"/>
      <c r="D8" s="92" t="s">
        <v>190</v>
      </c>
      <c r="E8" s="90" t="s">
        <v>191</v>
      </c>
      <c r="F8" s="90" t="s">
        <v>191</v>
      </c>
      <c r="G8" s="90" t="s">
        <v>191</v>
      </c>
      <c r="H8" s="92" t="s">
        <v>192</v>
      </c>
      <c r="I8" s="92" t="s">
        <v>192</v>
      </c>
      <c r="J8" s="90" t="s">
        <v>191</v>
      </c>
      <c r="K8" s="90" t="s">
        <v>191</v>
      </c>
      <c r="L8" s="92"/>
      <c r="M8" s="90" t="s">
        <v>191</v>
      </c>
      <c r="N8" s="90" t="s">
        <v>191</v>
      </c>
      <c r="O8" s="90" t="s">
        <v>191</v>
      </c>
      <c r="P8" s="90" t="s">
        <v>191</v>
      </c>
      <c r="Q8" s="90" t="s">
        <v>191</v>
      </c>
      <c r="R8" s="97" t="s">
        <v>191</v>
      </c>
    </row>
    <row r="9" spans="1:20" ht="38.25" customHeight="1">
      <c r="A9" s="124" t="s">
        <v>15</v>
      </c>
      <c r="B9" s="63" t="s">
        <v>182</v>
      </c>
      <c r="C9" s="58" t="s">
        <v>121</v>
      </c>
      <c r="D9" s="134">
        <v>50</v>
      </c>
      <c r="E9" s="64">
        <v>1000000</v>
      </c>
      <c r="F9" s="64">
        <v>0</v>
      </c>
      <c r="G9" s="41">
        <f>IF(E9="","",E9-F9)</f>
        <v>1000000</v>
      </c>
      <c r="H9" s="120">
        <f>IF(D9="","",ROUNDUP(D9*0.2,0))</f>
        <v>10</v>
      </c>
      <c r="I9" s="63">
        <v>10</v>
      </c>
      <c r="J9" s="63">
        <v>100000</v>
      </c>
      <c r="K9" s="21">
        <f>IF(I9="","",IF($H$9&lt;I9,"台数上限を超えています",I9*J9))</f>
        <v>1000000</v>
      </c>
      <c r="L9" s="133">
        <v>0.75</v>
      </c>
      <c r="M9" s="49">
        <f>IF(K9="","",IF($H$9&lt;I9,"",ROUNDDOWN(K9*$L$9,-3)))</f>
        <v>750000</v>
      </c>
      <c r="N9" s="49">
        <f>IF(M9="","",IF($H$9&lt;I9,"",IF(I9="",0,I9*1000000)))</f>
        <v>10000000</v>
      </c>
      <c r="O9" s="49">
        <f>IF(N9="","",IF($H$9&lt;I9,"",ROUNDDOWN(MIN(G9,M9,N9),-3)))</f>
        <v>750000</v>
      </c>
      <c r="P9" s="161">
        <v>5750000</v>
      </c>
      <c r="Q9" s="161">
        <v>0</v>
      </c>
      <c r="R9" s="170">
        <f>IF(P9="","",IF(O14&gt;P9,P9-Q9,O14-Q9))</f>
        <v>5750000</v>
      </c>
      <c r="S9" s="6">
        <f>COUNTIF($C$9:$C$13,C9)</f>
        <v>1</v>
      </c>
      <c r="T9" s="6">
        <f>IF(S9&gt;1,1,0)</f>
        <v>0</v>
      </c>
    </row>
    <row r="10" spans="1:20" ht="38.25" customHeight="1">
      <c r="A10" s="124"/>
      <c r="B10" s="63" t="s">
        <v>183</v>
      </c>
      <c r="C10" s="58" t="s">
        <v>125</v>
      </c>
      <c r="D10" s="128"/>
      <c r="E10" s="64">
        <v>7500000</v>
      </c>
      <c r="F10" s="64">
        <v>0</v>
      </c>
      <c r="G10" s="41">
        <f t="shared" ref="G10:G13" si="0">IF(E10="","",E10-F10)</f>
        <v>7500000</v>
      </c>
      <c r="H10" s="114"/>
      <c r="I10" s="63">
        <v>5</v>
      </c>
      <c r="J10" s="63">
        <v>1500000</v>
      </c>
      <c r="K10" s="21">
        <f t="shared" ref="K10:K13" si="1">IF(I10="","",IF($H$9&lt;I10,"台数上限を超えています",I10*J10))</f>
        <v>7500000</v>
      </c>
      <c r="L10" s="116"/>
      <c r="M10" s="49">
        <f t="shared" ref="M10:M13" si="2">IF(K10="","",IF($H$9&lt;I10,"",ROUNDDOWN(K10*$L$9,-3)))</f>
        <v>5625000</v>
      </c>
      <c r="N10" s="49">
        <f t="shared" ref="N10:N13" si="3">IF(M10="","",IF($H$9&lt;I10,"",IF(I10="",0,I10*1000000)))</f>
        <v>5000000</v>
      </c>
      <c r="O10" s="49">
        <f t="shared" ref="O10:O13" si="4">IF(N10="","",IF($H$9&lt;I10,"",ROUNDDOWN(MIN(G10,M10,N10),-3)))</f>
        <v>5000000</v>
      </c>
      <c r="P10" s="162"/>
      <c r="Q10" s="162"/>
      <c r="R10" s="171"/>
      <c r="S10" s="6">
        <f>COUNTIF($C$9:$C$13,C10)</f>
        <v>1</v>
      </c>
      <c r="T10" s="6">
        <f t="shared" ref="T10:T13" si="5">IF(S10&gt;1,1,0)</f>
        <v>0</v>
      </c>
    </row>
    <row r="11" spans="1:20" ht="38.25" customHeight="1">
      <c r="A11" s="124"/>
      <c r="B11" s="63"/>
      <c r="C11" s="58"/>
      <c r="D11" s="128"/>
      <c r="E11" s="64"/>
      <c r="F11" s="64"/>
      <c r="G11" s="41" t="str">
        <f t="shared" si="0"/>
        <v/>
      </c>
      <c r="H11" s="114"/>
      <c r="I11" s="63"/>
      <c r="J11" s="63"/>
      <c r="K11" s="21" t="str">
        <f t="shared" si="1"/>
        <v/>
      </c>
      <c r="L11" s="116"/>
      <c r="M11" s="49" t="str">
        <f t="shared" si="2"/>
        <v/>
      </c>
      <c r="N11" s="49" t="str">
        <f t="shared" si="3"/>
        <v/>
      </c>
      <c r="O11" s="49" t="str">
        <f t="shared" si="4"/>
        <v/>
      </c>
      <c r="P11" s="162"/>
      <c r="Q11" s="162"/>
      <c r="R11" s="171"/>
      <c r="S11" s="6">
        <f>COUNTIF($C$9:$C$13,C11)</f>
        <v>0</v>
      </c>
      <c r="T11" s="6">
        <f t="shared" si="5"/>
        <v>0</v>
      </c>
    </row>
    <row r="12" spans="1:20" ht="38.25" customHeight="1">
      <c r="A12" s="124"/>
      <c r="B12" s="63"/>
      <c r="C12" s="58"/>
      <c r="D12" s="128"/>
      <c r="E12" s="64"/>
      <c r="F12" s="64"/>
      <c r="G12" s="41" t="str">
        <f t="shared" si="0"/>
        <v/>
      </c>
      <c r="H12" s="114"/>
      <c r="I12" s="63"/>
      <c r="J12" s="63"/>
      <c r="K12" s="21" t="str">
        <f t="shared" si="1"/>
        <v/>
      </c>
      <c r="L12" s="116"/>
      <c r="M12" s="49" t="str">
        <f t="shared" si="2"/>
        <v/>
      </c>
      <c r="N12" s="49" t="str">
        <f t="shared" si="3"/>
        <v/>
      </c>
      <c r="O12" s="49" t="str">
        <f t="shared" si="4"/>
        <v/>
      </c>
      <c r="P12" s="162"/>
      <c r="Q12" s="162"/>
      <c r="R12" s="171"/>
      <c r="S12" s="6">
        <f>COUNTIF($C$9:$C$13,C12)</f>
        <v>0</v>
      </c>
      <c r="T12" s="6">
        <f t="shared" si="5"/>
        <v>0</v>
      </c>
    </row>
    <row r="13" spans="1:20" ht="38.25" customHeight="1">
      <c r="A13" s="124"/>
      <c r="B13" s="63"/>
      <c r="C13" s="58"/>
      <c r="D13" s="128"/>
      <c r="E13" s="64"/>
      <c r="F13" s="64"/>
      <c r="G13" s="41" t="str">
        <f t="shared" si="0"/>
        <v/>
      </c>
      <c r="H13" s="114"/>
      <c r="I13" s="63"/>
      <c r="J13" s="63"/>
      <c r="K13" s="21" t="str">
        <f t="shared" si="1"/>
        <v/>
      </c>
      <c r="L13" s="116"/>
      <c r="M13" s="49" t="str">
        <f t="shared" si="2"/>
        <v/>
      </c>
      <c r="N13" s="49" t="str">
        <f t="shared" si="3"/>
        <v/>
      </c>
      <c r="O13" s="49" t="str">
        <f t="shared" si="4"/>
        <v/>
      </c>
      <c r="P13" s="163"/>
      <c r="Q13" s="163"/>
      <c r="R13" s="172"/>
      <c r="S13" s="6">
        <f>COUNTIF($C$9:$C$13,C13)</f>
        <v>0</v>
      </c>
      <c r="T13" s="6">
        <f t="shared" si="5"/>
        <v>0</v>
      </c>
    </row>
    <row r="14" spans="1:20">
      <c r="A14" s="113" t="s">
        <v>14</v>
      </c>
      <c r="B14" s="113"/>
      <c r="C14" s="113"/>
      <c r="D14" s="113"/>
      <c r="E14" s="53">
        <f>SUM(E9:E13)</f>
        <v>8500000</v>
      </c>
      <c r="F14" s="53">
        <f t="shared" ref="F14:G14" si="6">SUM(F9:F13)</f>
        <v>0</v>
      </c>
      <c r="G14" s="53">
        <f t="shared" si="6"/>
        <v>8500000</v>
      </c>
      <c r="H14" s="16"/>
      <c r="I14" s="13"/>
      <c r="J14" s="13"/>
      <c r="K14" s="13">
        <f>SUM(K9:K13)</f>
        <v>8500000</v>
      </c>
      <c r="L14" s="16"/>
      <c r="M14" s="13">
        <f>SUM(M9:M13)</f>
        <v>6375000</v>
      </c>
      <c r="N14" s="13">
        <f>SUM(N9:N13)</f>
        <v>15000000</v>
      </c>
      <c r="O14" s="13">
        <f>SUM(O9:O13)</f>
        <v>5750000</v>
      </c>
      <c r="P14" s="13">
        <f t="shared" ref="P14:R14" si="7">SUM(P9:P13)</f>
        <v>5750000</v>
      </c>
      <c r="Q14" s="13">
        <f t="shared" si="7"/>
        <v>0</v>
      </c>
      <c r="R14" s="13">
        <f t="shared" si="7"/>
        <v>5750000</v>
      </c>
      <c r="T14" s="6">
        <f>SUM(T9:T13)</f>
        <v>0</v>
      </c>
    </row>
    <row r="15" spans="1:20" ht="37.65" customHeight="1">
      <c r="B15" s="26" t="str">
        <f>IF(T14&gt;1,"！同一の使用目的で補助できる機種は1種類限りです！","")</f>
        <v/>
      </c>
    </row>
    <row r="16" spans="1:20" ht="37.65" customHeight="1"/>
    <row r="17" ht="37.65" customHeight="1"/>
    <row r="18" ht="37.65" customHeight="1"/>
    <row r="19" ht="37.65" customHeight="1"/>
  </sheetData>
  <mergeCells count="13">
    <mergeCell ref="A14:D14"/>
    <mergeCell ref="P1:R1"/>
    <mergeCell ref="P2:R2"/>
    <mergeCell ref="P3:R3"/>
    <mergeCell ref="P4:R4"/>
    <mergeCell ref="P5:R5"/>
    <mergeCell ref="A9:A13"/>
    <mergeCell ref="D9:D13"/>
    <mergeCell ref="H9:H13"/>
    <mergeCell ref="L9:L13"/>
    <mergeCell ref="P9:P13"/>
    <mergeCell ref="Q9:Q13"/>
    <mergeCell ref="R9:R13"/>
  </mergeCells>
  <phoneticPr fontId="1"/>
  <conditionalFormatting sqref="K9:K13">
    <cfRule type="expression" dxfId="1" priority="1">
      <formula>$K9="台数上限を超えています"</formula>
    </cfRule>
  </conditionalFormatting>
  <pageMargins left="0.7" right="0.7" top="0.75" bottom="0.75" header="0.3" footer="0.3"/>
  <pageSetup paperSize="9" scale="25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prompt="その他を選択した場合は、（）内に具体的な使用目的を記載してください。" xr:uid="{EE5EA36B-3E6E-46F0-A529-7F0E431FED33}">
          <x14:formula1>
            <xm:f>データリスト!$C$3:$C$10</xm:f>
          </x14:formula1>
          <xm:sqref>C9:C13</xm:sqref>
        </x14:dataValidation>
        <x14:dataValidation type="list" allowBlank="1" showInputMessage="1" showErrorMessage="1" xr:uid="{4F3040CC-56CA-41EC-86DE-F73D9307A0D3}">
          <x14:formula1>
            <xm:f>データリスト!$A$2:$A$55</xm:f>
          </x14:formula1>
          <xm:sqref>P4:R4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83B75-C6A8-42D3-A14E-51F2D1F99174}">
  <sheetPr codeName="Sheet11">
    <pageSetUpPr fitToPage="1"/>
  </sheetPr>
  <dimension ref="A1:U24"/>
  <sheetViews>
    <sheetView view="pageBreakPreview" zoomScale="80" zoomScaleNormal="70" zoomScaleSheetLayoutView="80" workbookViewId="0">
      <selection activeCell="P9" sqref="P9:P21"/>
    </sheetView>
  </sheetViews>
  <sheetFormatPr defaultColWidth="8.83203125" defaultRowHeight="18"/>
  <cols>
    <col min="1" max="1" width="5.4140625" style="6" customWidth="1"/>
    <col min="2" max="2" width="25.83203125" style="6" customWidth="1"/>
    <col min="3" max="3" width="26.08203125" style="6" bestFit="1" customWidth="1"/>
    <col min="4" max="4" width="10.4140625" style="6" customWidth="1"/>
    <col min="5" max="5" width="40.1640625" style="6" customWidth="1"/>
    <col min="6" max="11" width="13" style="6" customWidth="1"/>
    <col min="12" max="12" width="6.83203125" style="6" bestFit="1" customWidth="1"/>
    <col min="13" max="15" width="13" style="6" customWidth="1"/>
    <col min="16" max="19" width="14.08203125" style="6" customWidth="1"/>
    <col min="20" max="20" width="74.5" style="6" customWidth="1"/>
    <col min="21" max="21" width="8.83203125" style="6" customWidth="1"/>
    <col min="22" max="16384" width="8.83203125" style="6"/>
  </cols>
  <sheetData>
    <row r="1" spans="1:21">
      <c r="A1" s="6" t="s">
        <v>24</v>
      </c>
      <c r="L1" s="9"/>
      <c r="P1" s="9" t="s">
        <v>28</v>
      </c>
      <c r="Q1" s="194"/>
      <c r="R1" s="194"/>
      <c r="S1" s="194"/>
    </row>
    <row r="2" spans="1:21">
      <c r="A2" s="6" t="s">
        <v>206</v>
      </c>
      <c r="L2" s="9"/>
      <c r="P2" s="9" t="s">
        <v>29</v>
      </c>
      <c r="Q2" s="195"/>
      <c r="R2" s="195"/>
      <c r="S2" s="195"/>
    </row>
    <row r="3" spans="1:21">
      <c r="L3" s="9"/>
      <c r="P3" s="9" t="s">
        <v>30</v>
      </c>
      <c r="Q3" s="195"/>
      <c r="R3" s="195"/>
      <c r="S3" s="195"/>
    </row>
    <row r="4" spans="1:21">
      <c r="A4" s="7" t="s">
        <v>3</v>
      </c>
      <c r="B4" s="7" t="s">
        <v>21</v>
      </c>
      <c r="C4" s="7"/>
      <c r="E4" s="8"/>
      <c r="F4" s="8"/>
      <c r="G4" s="8"/>
      <c r="H4" s="8"/>
      <c r="I4" s="8"/>
      <c r="L4" s="9"/>
      <c r="P4" s="9" t="s">
        <v>31</v>
      </c>
      <c r="Q4" s="196"/>
      <c r="R4" s="196"/>
      <c r="S4" s="196"/>
    </row>
    <row r="5" spans="1:21">
      <c r="A5" s="8"/>
      <c r="B5" s="8"/>
      <c r="C5" s="8"/>
      <c r="E5" s="8"/>
      <c r="F5" s="8"/>
      <c r="G5" s="8"/>
      <c r="H5" s="8"/>
      <c r="I5" s="8"/>
      <c r="L5" s="9"/>
      <c r="P5" s="9" t="s">
        <v>32</v>
      </c>
      <c r="Q5" s="195"/>
      <c r="R5" s="195"/>
      <c r="S5" s="195"/>
    </row>
    <row r="6" spans="1:21" ht="40" customHeight="1">
      <c r="B6" s="77"/>
      <c r="D6" s="99"/>
      <c r="F6" s="40" t="s">
        <v>142</v>
      </c>
      <c r="G6" s="40" t="s">
        <v>143</v>
      </c>
      <c r="H6" s="40" t="s">
        <v>144</v>
      </c>
      <c r="I6" s="40" t="s">
        <v>145</v>
      </c>
      <c r="J6" s="40" t="s">
        <v>146</v>
      </c>
      <c r="K6" s="40" t="s">
        <v>147</v>
      </c>
      <c r="L6" s="40"/>
      <c r="M6" s="40" t="s">
        <v>148</v>
      </c>
      <c r="N6" s="40" t="s">
        <v>162</v>
      </c>
      <c r="O6" s="40" t="s">
        <v>150</v>
      </c>
      <c r="P6" s="46" t="s">
        <v>194</v>
      </c>
      <c r="Q6" s="55" t="s">
        <v>195</v>
      </c>
      <c r="R6" s="55" t="s">
        <v>201</v>
      </c>
      <c r="S6" s="46" t="s">
        <v>202</v>
      </c>
    </row>
    <row r="7" spans="1:21" s="1" customFormat="1" ht="60.5" customHeight="1">
      <c r="A7" s="94"/>
      <c r="B7" s="94" t="s">
        <v>2</v>
      </c>
      <c r="C7" s="94" t="s">
        <v>27</v>
      </c>
      <c r="D7" s="85" t="s">
        <v>130</v>
      </c>
      <c r="E7" s="94" t="s">
        <v>33</v>
      </c>
      <c r="F7" s="94" t="s">
        <v>5</v>
      </c>
      <c r="G7" s="94" t="s">
        <v>6</v>
      </c>
      <c r="H7" s="94" t="s">
        <v>7</v>
      </c>
      <c r="I7" s="85" t="s">
        <v>9</v>
      </c>
      <c r="J7" s="85" t="s">
        <v>135</v>
      </c>
      <c r="K7" s="85" t="s">
        <v>8</v>
      </c>
      <c r="L7" s="94" t="s">
        <v>10</v>
      </c>
      <c r="M7" s="85" t="s">
        <v>158</v>
      </c>
      <c r="N7" s="94" t="s">
        <v>159</v>
      </c>
      <c r="O7" s="85" t="s">
        <v>127</v>
      </c>
      <c r="P7" s="85" t="s">
        <v>193</v>
      </c>
      <c r="Q7" s="85" t="s">
        <v>199</v>
      </c>
      <c r="R7" s="85" t="s">
        <v>200</v>
      </c>
      <c r="S7" s="85" t="s">
        <v>203</v>
      </c>
    </row>
    <row r="8" spans="1:21" s="1" customFormat="1">
      <c r="A8" s="95"/>
      <c r="B8" s="96"/>
      <c r="C8" s="96"/>
      <c r="D8" s="89"/>
      <c r="E8" s="96"/>
      <c r="F8" s="96" t="s">
        <v>191</v>
      </c>
      <c r="G8" s="96" t="s">
        <v>191</v>
      </c>
      <c r="H8" s="96" t="s">
        <v>191</v>
      </c>
      <c r="I8" s="92" t="s">
        <v>192</v>
      </c>
      <c r="J8" s="92" t="s">
        <v>191</v>
      </c>
      <c r="K8" s="92" t="s">
        <v>191</v>
      </c>
      <c r="L8" s="96"/>
      <c r="M8" s="92" t="s">
        <v>191</v>
      </c>
      <c r="N8" s="92" t="s">
        <v>191</v>
      </c>
      <c r="O8" s="92" t="s">
        <v>191</v>
      </c>
      <c r="P8" s="92" t="s">
        <v>191</v>
      </c>
      <c r="Q8" s="90" t="s">
        <v>191</v>
      </c>
      <c r="R8" s="90" t="s">
        <v>191</v>
      </c>
      <c r="S8" s="97" t="s">
        <v>191</v>
      </c>
    </row>
    <row r="9" spans="1:21" ht="38.25" customHeight="1">
      <c r="A9" s="138" t="s">
        <v>22</v>
      </c>
      <c r="B9" s="139"/>
      <c r="C9" s="210"/>
      <c r="D9" s="211"/>
      <c r="E9" s="145"/>
      <c r="F9" s="193"/>
      <c r="G9" s="193"/>
      <c r="H9" s="151" t="str">
        <f>IF(F9="","",F9-G9)</f>
        <v/>
      </c>
      <c r="I9" s="157"/>
      <c r="J9" s="184"/>
      <c r="K9" s="21" t="str">
        <f t="shared" ref="K9:K12" si="0">IF(J9="","",J9)</f>
        <v/>
      </c>
      <c r="L9" s="142">
        <v>0.75</v>
      </c>
      <c r="M9" s="19" t="str">
        <f>IF(K9="","",K9*$L$9)</f>
        <v/>
      </c>
      <c r="N9" s="135" t="str">
        <f>IF(F9="","",ROUNDDOWN(SUM(M9:M20),-3))</f>
        <v/>
      </c>
      <c r="O9" s="135" t="str">
        <f>IF(N9="","",4000000)</f>
        <v/>
      </c>
      <c r="P9" s="135" t="str">
        <f>IF(O9="","",ROUNDDOWN(MIN(H9,N9,O9),-3))</f>
        <v/>
      </c>
      <c r="Q9" s="202"/>
      <c r="R9" s="202"/>
      <c r="S9" s="135" t="str">
        <f>IF(Q9="","",IF(P9&gt;Q9,Q9-R9,P9-R9))</f>
        <v/>
      </c>
    </row>
    <row r="10" spans="1:21" ht="38.25" customHeight="1">
      <c r="A10" s="138"/>
      <c r="B10" s="140"/>
      <c r="C10" s="212"/>
      <c r="D10" s="213"/>
      <c r="E10" s="146"/>
      <c r="F10" s="188"/>
      <c r="G10" s="188"/>
      <c r="H10" s="152"/>
      <c r="I10" s="126"/>
      <c r="J10" s="205"/>
      <c r="K10" s="22" t="str">
        <f t="shared" si="0"/>
        <v/>
      </c>
      <c r="L10" s="143"/>
      <c r="M10" s="20" t="str">
        <f t="shared" ref="M10:M16" si="1">IF(K10="","",K10*$L$9)</f>
        <v/>
      </c>
      <c r="N10" s="136"/>
      <c r="O10" s="136"/>
      <c r="P10" s="136"/>
      <c r="Q10" s="203"/>
      <c r="R10" s="203"/>
      <c r="S10" s="136"/>
    </row>
    <row r="11" spans="1:21" ht="38.25" customHeight="1">
      <c r="A11" s="138"/>
      <c r="B11" s="140"/>
      <c r="C11" s="212"/>
      <c r="D11" s="213"/>
      <c r="E11" s="146"/>
      <c r="F11" s="188"/>
      <c r="G11" s="188"/>
      <c r="H11" s="152"/>
      <c r="I11" s="126"/>
      <c r="J11" s="205"/>
      <c r="K11" s="22" t="str">
        <f t="shared" si="0"/>
        <v/>
      </c>
      <c r="L11" s="143"/>
      <c r="M11" s="20" t="str">
        <f t="shared" si="1"/>
        <v/>
      </c>
      <c r="N11" s="136"/>
      <c r="O11" s="136"/>
      <c r="P11" s="136"/>
      <c r="Q11" s="203"/>
      <c r="R11" s="203"/>
      <c r="S11" s="136"/>
    </row>
    <row r="12" spans="1:21" ht="38.25" customHeight="1">
      <c r="A12" s="138"/>
      <c r="B12" s="140"/>
      <c r="C12" s="212"/>
      <c r="D12" s="213"/>
      <c r="E12" s="146"/>
      <c r="F12" s="188"/>
      <c r="G12" s="188"/>
      <c r="H12" s="152"/>
      <c r="I12" s="126"/>
      <c r="J12" s="205"/>
      <c r="K12" s="22" t="str">
        <f t="shared" si="0"/>
        <v/>
      </c>
      <c r="L12" s="143"/>
      <c r="M12" s="20" t="str">
        <f t="shared" si="1"/>
        <v/>
      </c>
      <c r="N12" s="136"/>
      <c r="O12" s="136"/>
      <c r="P12" s="136"/>
      <c r="Q12" s="203"/>
      <c r="R12" s="203"/>
      <c r="S12" s="136"/>
    </row>
    <row r="13" spans="1:21" ht="38.25" customHeight="1">
      <c r="A13" s="138"/>
      <c r="B13" s="141"/>
      <c r="C13" s="214"/>
      <c r="D13" s="215"/>
      <c r="E13" s="147"/>
      <c r="F13" s="188"/>
      <c r="G13" s="188"/>
      <c r="H13" s="152"/>
      <c r="I13" s="127"/>
      <c r="J13" s="183"/>
      <c r="K13" s="38" t="str">
        <f>IF(J13="","",J13)</f>
        <v/>
      </c>
      <c r="L13" s="143"/>
      <c r="M13" s="14" t="str">
        <f t="shared" si="1"/>
        <v/>
      </c>
      <c r="N13" s="136"/>
      <c r="O13" s="136"/>
      <c r="P13" s="136"/>
      <c r="Q13" s="203"/>
      <c r="R13" s="203"/>
      <c r="S13" s="136"/>
    </row>
    <row r="14" spans="1:21" ht="37.65" customHeight="1">
      <c r="A14" s="138" t="s">
        <v>23</v>
      </c>
      <c r="B14" s="218"/>
      <c r="C14" s="210"/>
      <c r="D14" s="211"/>
      <c r="E14" s="207"/>
      <c r="F14" s="188"/>
      <c r="G14" s="188"/>
      <c r="H14" s="152"/>
      <c r="I14" s="184"/>
      <c r="J14" s="184"/>
      <c r="K14" s="21" t="str">
        <f>IF(I14="","",I14*J14)</f>
        <v/>
      </c>
      <c r="L14" s="143"/>
      <c r="M14" s="19" t="str">
        <f t="shared" si="1"/>
        <v/>
      </c>
      <c r="N14" s="136"/>
      <c r="O14" s="136"/>
      <c r="P14" s="136"/>
      <c r="Q14" s="203"/>
      <c r="R14" s="203"/>
      <c r="S14" s="136"/>
      <c r="T14" s="6" t="str">
        <f>CONCATENATE(B14,E14)</f>
        <v/>
      </c>
      <c r="U14" s="6" t="str">
        <f>IF(B14="","",IF(T14="","",COUNTIF($T$14:$T$16,T14)))</f>
        <v/>
      </c>
    </row>
    <row r="15" spans="1:21" ht="37.65" customHeight="1">
      <c r="A15" s="138"/>
      <c r="B15" s="219"/>
      <c r="C15" s="212"/>
      <c r="D15" s="213"/>
      <c r="E15" s="208"/>
      <c r="F15" s="188"/>
      <c r="G15" s="188"/>
      <c r="H15" s="152"/>
      <c r="I15" s="205"/>
      <c r="J15" s="205"/>
      <c r="K15" s="22" t="str">
        <f t="shared" ref="K15:K16" si="2">IF(I15="","",I15*J15)</f>
        <v/>
      </c>
      <c r="L15" s="143"/>
      <c r="M15" s="20" t="str">
        <f t="shared" si="1"/>
        <v/>
      </c>
      <c r="N15" s="136"/>
      <c r="O15" s="136"/>
      <c r="P15" s="136"/>
      <c r="Q15" s="203"/>
      <c r="R15" s="203"/>
      <c r="S15" s="136"/>
      <c r="T15" s="6" t="str">
        <f>CONCATENATE(B15,E15)</f>
        <v/>
      </c>
      <c r="U15" s="6" t="str">
        <f t="shared" ref="U15:U16" si="3">IF(B15="","",IF(T15="","",COUNTIF($T$14:$T$16,T15)))</f>
        <v/>
      </c>
    </row>
    <row r="16" spans="1:21" ht="37.65" customHeight="1">
      <c r="A16" s="138"/>
      <c r="B16" s="220"/>
      <c r="C16" s="216"/>
      <c r="D16" s="217"/>
      <c r="E16" s="209"/>
      <c r="F16" s="188"/>
      <c r="G16" s="188"/>
      <c r="H16" s="152"/>
      <c r="I16" s="206"/>
      <c r="J16" s="206"/>
      <c r="K16" s="45" t="str">
        <f t="shared" si="2"/>
        <v/>
      </c>
      <c r="L16" s="143"/>
      <c r="M16" s="44" t="str">
        <f t="shared" si="1"/>
        <v/>
      </c>
      <c r="N16" s="136"/>
      <c r="O16" s="136"/>
      <c r="P16" s="136"/>
      <c r="Q16" s="203"/>
      <c r="R16" s="203"/>
      <c r="S16" s="136"/>
      <c r="T16" s="6" t="str">
        <f>CONCATENATE(B16,E16)</f>
        <v/>
      </c>
      <c r="U16" s="6" t="str">
        <f t="shared" si="3"/>
        <v/>
      </c>
    </row>
    <row r="17" spans="1:21" ht="37.65" customHeight="1">
      <c r="A17" s="138"/>
      <c r="B17" s="43" t="s">
        <v>154</v>
      </c>
      <c r="C17" s="221"/>
      <c r="D17" s="102"/>
      <c r="E17" s="154"/>
      <c r="F17" s="188"/>
      <c r="G17" s="188"/>
      <c r="H17" s="152"/>
      <c r="I17" s="182"/>
      <c r="J17" s="182"/>
      <c r="K17" s="28" t="str">
        <f>IF(I17="","",I17*J17)</f>
        <v/>
      </c>
      <c r="L17" s="143"/>
      <c r="M17" s="28" t="str">
        <f>IF(K17="","",IF(J17*$L$9&gt;100000,100000*I17,K17*$L$9))</f>
        <v/>
      </c>
      <c r="N17" s="136"/>
      <c r="O17" s="136"/>
      <c r="P17" s="136"/>
      <c r="Q17" s="203"/>
      <c r="R17" s="203"/>
      <c r="S17" s="136"/>
      <c r="U17" s="6">
        <f>SUM(U14:U16)</f>
        <v>0</v>
      </c>
    </row>
    <row r="18" spans="1:21" ht="37.65" customHeight="1">
      <c r="A18" s="138"/>
      <c r="B18" s="42" t="s">
        <v>155</v>
      </c>
      <c r="C18" s="212"/>
      <c r="D18" s="102"/>
      <c r="E18" s="155"/>
      <c r="F18" s="188"/>
      <c r="G18" s="188"/>
      <c r="H18" s="152"/>
      <c r="I18" s="205"/>
      <c r="J18" s="205"/>
      <c r="K18" s="28" t="str">
        <f t="shared" ref="K18:K19" si="4">IF(I18="","",I18*J18)</f>
        <v/>
      </c>
      <c r="L18" s="143"/>
      <c r="M18" s="20" t="str">
        <f t="shared" ref="M18:M19" si="5">IF(K18="","",IF(J18*$L$9&gt;100000,100000*I18,K18*$L$9))</f>
        <v/>
      </c>
      <c r="N18" s="136"/>
      <c r="O18" s="136"/>
      <c r="P18" s="136"/>
      <c r="Q18" s="203"/>
      <c r="R18" s="203"/>
      <c r="S18" s="136"/>
    </row>
    <row r="19" spans="1:21" ht="37.65" customHeight="1">
      <c r="A19" s="138"/>
      <c r="B19" s="42" t="s">
        <v>156</v>
      </c>
      <c r="C19" s="212"/>
      <c r="D19" s="103"/>
      <c r="E19" s="155"/>
      <c r="F19" s="188"/>
      <c r="G19" s="188"/>
      <c r="H19" s="152"/>
      <c r="I19" s="205"/>
      <c r="J19" s="205"/>
      <c r="K19" s="28" t="str">
        <f t="shared" si="4"/>
        <v/>
      </c>
      <c r="L19" s="143"/>
      <c r="M19" s="20" t="str">
        <f t="shared" si="5"/>
        <v/>
      </c>
      <c r="N19" s="136"/>
      <c r="O19" s="136"/>
      <c r="P19" s="136"/>
      <c r="Q19" s="203"/>
      <c r="R19" s="203"/>
      <c r="S19" s="136"/>
    </row>
    <row r="20" spans="1:21" ht="37.65" customHeight="1">
      <c r="A20" s="138"/>
      <c r="B20" s="42" t="s">
        <v>157</v>
      </c>
      <c r="C20" s="214"/>
      <c r="D20" s="104"/>
      <c r="E20" s="156"/>
      <c r="F20" s="192"/>
      <c r="G20" s="192"/>
      <c r="H20" s="153"/>
      <c r="I20" s="31"/>
      <c r="J20" s="183"/>
      <c r="K20" s="38" t="str">
        <f>IF(J20="","",J20)</f>
        <v/>
      </c>
      <c r="L20" s="143"/>
      <c r="M20" s="15" t="str">
        <f>IF(K20="","",K20*$L$9)</f>
        <v/>
      </c>
      <c r="N20" s="136"/>
      <c r="O20" s="136"/>
      <c r="P20" s="136"/>
      <c r="Q20" s="203"/>
      <c r="R20" s="203"/>
      <c r="S20" s="136"/>
    </row>
    <row r="21" spans="1:21">
      <c r="A21" s="148" t="s">
        <v>14</v>
      </c>
      <c r="B21" s="149"/>
      <c r="C21" s="149"/>
      <c r="D21" s="149"/>
      <c r="E21" s="150"/>
      <c r="F21" s="13">
        <f>SUM(F14:F20)</f>
        <v>0</v>
      </c>
      <c r="G21" s="13">
        <f>SUM(G14:G20)</f>
        <v>0</v>
      </c>
      <c r="H21" s="13">
        <f>SUM(H14:H20)</f>
        <v>0</v>
      </c>
      <c r="I21" s="13"/>
      <c r="J21" s="13"/>
      <c r="K21" s="13">
        <f>SUM(K9:K20)</f>
        <v>0</v>
      </c>
      <c r="L21" s="144"/>
      <c r="M21" s="13">
        <f>SUM(M9:M20)</f>
        <v>0</v>
      </c>
      <c r="N21" s="137"/>
      <c r="O21" s="137"/>
      <c r="P21" s="137"/>
      <c r="Q21" s="204"/>
      <c r="R21" s="204"/>
      <c r="S21" s="137"/>
    </row>
    <row r="22" spans="1:21" ht="18" customHeight="1">
      <c r="B22" s="26" t="str">
        <f>IF(U17&gt;3,"！同一の種別かつ同一の連携目的で補助できる機種は1種類限りです！","")</f>
        <v/>
      </c>
    </row>
    <row r="23" spans="1:21" ht="18" customHeight="1">
      <c r="A23" s="6" t="s">
        <v>188</v>
      </c>
    </row>
    <row r="24" spans="1:21" ht="70" customHeight="1">
      <c r="A24" s="222"/>
      <c r="B24" s="223"/>
      <c r="C24" s="223"/>
      <c r="D24" s="223"/>
      <c r="E24" s="224"/>
      <c r="F24" s="79" t="str">
        <f>IF(A24="","「パッケージとしての活用方法の詳細」は必須項目です。","")</f>
        <v>「パッケージとしての活用方法の詳細」は必須項目です。</v>
      </c>
    </row>
  </sheetData>
  <sheetProtection algorithmName="SHA-512" hashValue="uGciYusedWviPczLFV41bVka2SKZZmvHmvXPxKiyYtagyTBDqgwpUOG/KWMm/yoI2YSWqQMPCWG6hPO7RV6bjg==" saltValue="l1eY4xx8rQYR6XmRf+5txw==" spinCount="100000" sheet="1" objects="1" scenarios="1"/>
  <mergeCells count="23">
    <mergeCell ref="A24:E24"/>
    <mergeCell ref="P9:P21"/>
    <mergeCell ref="A9:A13"/>
    <mergeCell ref="A14:A20"/>
    <mergeCell ref="B9:B13"/>
    <mergeCell ref="N9:N21"/>
    <mergeCell ref="O9:O21"/>
    <mergeCell ref="L9:L21"/>
    <mergeCell ref="E9:E13"/>
    <mergeCell ref="A21:E21"/>
    <mergeCell ref="F9:F20"/>
    <mergeCell ref="G9:G20"/>
    <mergeCell ref="H9:H20"/>
    <mergeCell ref="E17:E20"/>
    <mergeCell ref="I9:I13"/>
    <mergeCell ref="Q9:Q21"/>
    <mergeCell ref="S9:S21"/>
    <mergeCell ref="R9:R21"/>
    <mergeCell ref="Q1:S1"/>
    <mergeCell ref="Q2:S2"/>
    <mergeCell ref="Q3:S3"/>
    <mergeCell ref="Q4:S4"/>
    <mergeCell ref="Q5:S5"/>
  </mergeCells>
  <phoneticPr fontId="1"/>
  <dataValidations count="3">
    <dataValidation allowBlank="1" showInputMessage="1" sqref="E17" xr:uid="{C1BB3961-C83F-4938-BC97-9E791A99A234}"/>
    <dataValidation allowBlank="1" showInputMessage="1" showErrorMessage="1" prompt="情報端末の1台あたりの金額に補助率3/4を乗じて10万円を超える場合、10万円までが補助対象額となります。" sqref="J17:J19" xr:uid="{6DB0BB50-FC2E-4290-BB1A-7FDD5457C4F8}"/>
    <dataValidation type="list" allowBlank="1" showInputMessage="1" showErrorMessage="1" sqref="D9:D16" xr:uid="{00D7BFCA-9E99-4FD7-AEB6-E8D5ADB8D1B5}">
      <formula1>"有,無"</formula1>
    </dataValidation>
  </dataValidations>
  <pageMargins left="0.7" right="0.7" top="0.75" bottom="0.75" header="0.3" footer="0.3"/>
  <pageSetup paperSize="9" scale="41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2A4041B-154A-45C1-A7E8-D86658BA8F4F}">
          <x14:formula1>
            <xm:f>データリスト!$C$23:$S$23</xm:f>
          </x14:formula1>
          <xm:sqref>B14:B16</xm:sqref>
        </x14:dataValidation>
        <x14:dataValidation type="list" allowBlank="1" showInputMessage="1" prompt="その他を選択した場合は（）内に具体的な使用目的を記載してください。" xr:uid="{B9216DB7-E19F-4019-B120-BBF57BE0E354}">
          <x14:formula1>
            <xm:f>データリスト!$C$24:$C$31</xm:f>
          </x14:formula1>
          <xm:sqref>E14:E16</xm:sqref>
        </x14:dataValidation>
        <x14:dataValidation type="list" allowBlank="1" showInputMessage="1" showErrorMessage="1" xr:uid="{493D25FB-0FD1-4642-9D3A-747C35834F95}">
          <x14:formula1>
            <xm:f>データリスト!$A$2:$A$55</xm:f>
          </x14:formula1>
          <xm:sqref>Q4:S4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10</vt:i4>
      </vt:variant>
    </vt:vector>
  </HeadingPairs>
  <TitlesOfParts>
    <vt:vector size="23" baseType="lpstr">
      <vt:lpstr>所要額調書①</vt:lpstr>
      <vt:lpstr>（記載例）所要額調書①</vt:lpstr>
      <vt:lpstr>所要額調書②</vt:lpstr>
      <vt:lpstr>（記載例）所要額調書②</vt:lpstr>
      <vt:lpstr>所要額調書③</vt:lpstr>
      <vt:lpstr>（記載例）所要額調書③</vt:lpstr>
      <vt:lpstr>所要額調書④</vt:lpstr>
      <vt:lpstr>（記載例）所要額調書④</vt:lpstr>
      <vt:lpstr>所要額調書⑤</vt:lpstr>
      <vt:lpstr>（記載例）所要額調書⑤</vt:lpstr>
      <vt:lpstr>所要額調書⑥</vt:lpstr>
      <vt:lpstr>（記載例）所要額調書⑥</vt:lpstr>
      <vt:lpstr>データリスト</vt:lpstr>
      <vt:lpstr>'（記載例）所要額調書①'!Print_Area</vt:lpstr>
      <vt:lpstr>'（記載例）所要額調書②'!Print_Area</vt:lpstr>
      <vt:lpstr>'（記載例）所要額調書③'!Print_Area</vt:lpstr>
      <vt:lpstr>'（記載例）所要額調書④'!Print_Area</vt:lpstr>
      <vt:lpstr>'（記載例）所要額調書⑤'!Print_Area</vt:lpstr>
      <vt:lpstr>所要額調書①!Print_Area</vt:lpstr>
      <vt:lpstr>所要額調書②!Print_Area</vt:lpstr>
      <vt:lpstr>所要額調書③!Print_Area</vt:lpstr>
      <vt:lpstr>所要額調書④!Print_Area</vt:lpstr>
      <vt:lpstr>所要額調書⑤!Print_Area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2025-10-21T06:07:47Z</dcterms:created>
  <dcterms:modified xsi:type="dcterms:W3CDTF">2025-10-21T06:17:34Z</dcterms:modified>
</cp:coreProperties>
</file>